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Pfandbriefforum\2018-09\EN\xlsx\"/>
    </mc:Choice>
  </mc:AlternateContent>
  <bookViews>
    <workbookView xWindow="0" yWindow="0" windowWidth="25200" windowHeight="12465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1027"/>
</workbook>
</file>

<file path=xl/calcChain.xml><?xml version="1.0" encoding="utf-8"?>
<calcChain xmlns="http://schemas.openxmlformats.org/spreadsheetml/2006/main">
  <c r="C55" i="3" l="1"/>
  <c r="C61" i="3" s="1"/>
  <c r="C26" i="3"/>
  <c r="C23" i="3"/>
  <c r="D18" i="3"/>
  <c r="D23" i="3" s="1"/>
  <c r="D22" i="3"/>
  <c r="D21" i="3"/>
  <c r="D20" i="3"/>
  <c r="D19" i="3"/>
  <c r="D15" i="3"/>
  <c r="C15" i="3"/>
  <c r="D8" i="3"/>
  <c r="D9" i="3" s="1"/>
  <c r="H28" i="2"/>
  <c r="D28" i="2"/>
  <c r="D9" i="2"/>
  <c r="D14" i="2" s="1"/>
  <c r="D6" i="2"/>
  <c r="C9" i="2"/>
  <c r="C6" i="2"/>
  <c r="C14" i="2" s="1"/>
  <c r="D41" i="3" l="1"/>
  <c r="D38" i="3"/>
  <c r="D35" i="3"/>
  <c r="D52" i="3"/>
  <c r="D50" i="3"/>
  <c r="D27" i="3"/>
  <c r="D43" i="3"/>
  <c r="D59" i="3"/>
  <c r="D37" i="3"/>
  <c r="D34" i="3"/>
  <c r="D33" i="3"/>
  <c r="D51" i="3"/>
  <c r="D31" i="3"/>
  <c r="D30" i="3"/>
  <c r="D47" i="3"/>
  <c r="D36" i="3"/>
  <c r="D49" i="3"/>
  <c r="D46" i="3"/>
  <c r="D39" i="3"/>
  <c r="D54" i="3"/>
  <c r="D29" i="3"/>
  <c r="D40" i="3"/>
  <c r="D53" i="3"/>
  <c r="D32" i="3"/>
  <c r="D48" i="3"/>
  <c r="D45" i="3"/>
  <c r="D44" i="3"/>
  <c r="D42" i="3"/>
  <c r="D60" i="3"/>
  <c r="D28" i="3"/>
  <c r="H149" i="2"/>
  <c r="D149" i="2"/>
  <c r="D26" i="3" l="1"/>
  <c r="G123" i="2"/>
  <c r="H122" i="2" s="1"/>
  <c r="C123" i="2"/>
  <c r="D122" i="2" s="1"/>
  <c r="C107" i="2"/>
  <c r="D105" i="2" s="1"/>
  <c r="F95" i="2"/>
  <c r="C83" i="2"/>
  <c r="F82" i="2" s="1"/>
  <c r="C34" i="2"/>
  <c r="D32" i="1"/>
  <c r="D29" i="1"/>
  <c r="D21" i="1"/>
  <c r="D20" i="1"/>
  <c r="C69" i="2"/>
  <c r="G82" i="2" s="1"/>
  <c r="H118" i="2" l="1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3" i="2" s="1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3" i="2" s="1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D123" i="2" s="1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H123" i="2" l="1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<sst xmlns="http://schemas.openxmlformats.org/spreadsheetml/2006/main" count="635" uniqueCount="320">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</sst>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164" fontId="0" fillId="2" borderId="12" xfId="0" applyNumberFormat="1" applyFont="1" applyFill="1" applyBorder="1" applyAlignment="1">
      <alignment horizontal="center"/>
    </xf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760623210.41999996</c:v>
                </c:pt>
                <c:pt idx="1">
                  <c:v>676337744.66999996</c:v>
                </c:pt>
                <c:pt idx="2">
                  <c:v>323143320.66000003</c:v>
                </c:pt>
                <c:pt idx="3">
                  <c:v>1330076665.4747791</c:v>
                </c:pt>
                <c:pt idx="4">
                  <c:v>1273763509.1290879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801644693.0272429</c:v>
                </c:pt>
                <c:pt idx="1">
                  <c:v>273354688.94221634</c:v>
                </c:pt>
                <c:pt idx="2">
                  <c:v>245598548.79229409</c:v>
                </c:pt>
                <c:pt idx="3">
                  <c:v>342101429.51999998</c:v>
                </c:pt>
                <c:pt idx="4">
                  <c:v>505404741.08128309</c:v>
                </c:pt>
                <c:pt idx="5">
                  <c:v>2195840348.9908309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63387682.280000001</c:v>
                </c:pt>
                <c:pt idx="1">
                  <c:v>262934170.81</c:v>
                </c:pt>
                <c:pt idx="2">
                  <c:v>341693139.41852593</c:v>
                </c:pt>
                <c:pt idx="3">
                  <c:v>609669868.42707312</c:v>
                </c:pt>
                <c:pt idx="4">
                  <c:v>3086259589.4182682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616030554.48141038</c:v>
                </c:pt>
                <c:pt idx="1">
                  <c:v>603000000</c:v>
                </c:pt>
                <c:pt idx="2">
                  <c:v>1099721378.6300001</c:v>
                </c:pt>
                <c:pt idx="3">
                  <c:v>717650000</c:v>
                </c:pt>
                <c:pt idx="4">
                  <c:v>820585464.34000003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760623210.41999996</c:v>
                </c:pt>
                <c:pt idx="1">
                  <c:v>676337744.66999996</c:v>
                </c:pt>
                <c:pt idx="2">
                  <c:v>323143320.66000003</c:v>
                </c:pt>
                <c:pt idx="3">
                  <c:v>1330076665.4747791</c:v>
                </c:pt>
                <c:pt idx="4">
                  <c:v>1273763509.1290879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801644693.0272429</c:v>
                </c:pt>
                <c:pt idx="1">
                  <c:v>273354688.94221634</c:v>
                </c:pt>
                <c:pt idx="2">
                  <c:v>245598548.79229409</c:v>
                </c:pt>
                <c:pt idx="3">
                  <c:v>342101429.51999998</c:v>
                </c:pt>
                <c:pt idx="4">
                  <c:v>505404741.08128309</c:v>
                </c:pt>
                <c:pt idx="5">
                  <c:v>2195840348.9908309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63387682.280000001</c:v>
                </c:pt>
                <c:pt idx="1">
                  <c:v>262934170.81</c:v>
                </c:pt>
                <c:pt idx="2">
                  <c:v>341693139.41852593</c:v>
                </c:pt>
                <c:pt idx="3">
                  <c:v>609669868.42707312</c:v>
                </c:pt>
                <c:pt idx="4">
                  <c:v>3086259589.4182682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616030554.48141038</c:v>
                </c:pt>
                <c:pt idx="1">
                  <c:v>603000000</c:v>
                </c:pt>
                <c:pt idx="2">
                  <c:v>1099721378.6300001</c:v>
                </c:pt>
                <c:pt idx="3">
                  <c:v>717650000</c:v>
                </c:pt>
                <c:pt idx="4">
                  <c:v>820585464.34000003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L29" sqref="L29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02" t="s">
        <v>315</v>
      </c>
      <c r="D1" s="202"/>
      <c r="E1" s="202"/>
      <c r="F1" s="161"/>
    </row>
    <row r="2" spans="1:6" x14ac:dyDescent="0.25">
      <c r="B2" s="80" t="str">
        <f>INDEX(Language!D2:M33,2,IF(A1="EN",1,6))</f>
        <v>Report Date</v>
      </c>
      <c r="D2" s="86">
        <v>43373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184">
        <v>9.9616057041579456E-2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3856987397.4514108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4442289845.3538666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49629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45129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106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f>IF(ANZAHL_SCHULDNER&gt;0,GESAMTBETRAG_DECKUNG/ANZAHL_SCHULDNER,"")</f>
        <v>98435.370722902488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f>IF(ANZAHL_ASSETS&gt;0,GESAMTBETRAG_DECKUNG/ANZAHL_ASSETS,"")</f>
        <v>89509.96081633454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0.1887248215460709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0.52639973918361505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8.7370231377520105E-2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1.8738000236743688E-2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1.7183835429486996E-2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0.46367573661641376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f>IF(ISERROR(GESAMTBETRAG_DECKUNG/GESAMTBETRAG_EMISSIONEN),"",GESAMTBETRAG_DECKUNG/GESAMTBETRAG_EMISSIONEN-1)</f>
        <v>0.15175119532130377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0.27183997416169819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66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3">
        <f>IF(ANZAHL_EMISSIONEN&gt;0,GESAMTBETRAG_EMISSIONEN/ANZAHL_EMISSIONEN,"")</f>
        <v>58439202.991688043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2"/>
  <sheetViews>
    <sheetView topLeftCell="A132" zoomScale="115" zoomScaleNormal="115" zoomScalePageLayoutView="85" workbookViewId="0">
      <selection activeCell="F94" sqref="F94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6" t="s">
        <v>26</v>
      </c>
      <c r="C6" s="103">
        <f>SUM(C7:C8)</f>
        <v>1074999381.9694593</v>
      </c>
      <c r="D6" s="177">
        <f>SUM(D7:D8)</f>
        <v>48109</v>
      </c>
      <c r="I6" s="5"/>
    </row>
    <row r="7" spans="1:9" ht="15" x14ac:dyDescent="0.25">
      <c r="A7" s="57" t="s">
        <v>128</v>
      </c>
      <c r="B7" s="176" t="s">
        <v>123</v>
      </c>
      <c r="C7" s="103">
        <v>801644693.0272429</v>
      </c>
      <c r="D7" s="177">
        <v>46672</v>
      </c>
      <c r="I7" s="5"/>
    </row>
    <row r="8" spans="1:9" ht="15" x14ac:dyDescent="0.25">
      <c r="A8" s="57" t="s">
        <v>130</v>
      </c>
      <c r="B8" s="176" t="s">
        <v>124</v>
      </c>
      <c r="C8" s="103">
        <v>273354688.94221634</v>
      </c>
      <c r="D8" s="177">
        <v>1437</v>
      </c>
      <c r="I8" s="5"/>
    </row>
    <row r="9" spans="1:9" ht="15" x14ac:dyDescent="0.25">
      <c r="A9" s="57"/>
      <c r="B9" s="178" t="s">
        <v>27</v>
      </c>
      <c r="C9" s="103">
        <f>SUM(C10:C12)</f>
        <v>1093104719.3935771</v>
      </c>
      <c r="D9" s="177">
        <f>SUM(D10:D12)</f>
        <v>1408</v>
      </c>
      <c r="I9" s="5"/>
    </row>
    <row r="10" spans="1:9" ht="15" x14ac:dyDescent="0.25">
      <c r="A10" s="57" t="s">
        <v>131</v>
      </c>
      <c r="B10" s="178" t="s">
        <v>125</v>
      </c>
      <c r="C10" s="103">
        <v>245598548.79229409</v>
      </c>
      <c r="D10" s="177">
        <v>634</v>
      </c>
      <c r="I10" s="5"/>
    </row>
    <row r="11" spans="1:9" ht="15" x14ac:dyDescent="0.25">
      <c r="A11" s="57" t="s">
        <v>132</v>
      </c>
      <c r="B11" s="178" t="s">
        <v>126</v>
      </c>
      <c r="C11" s="103">
        <v>342101429.51999998</v>
      </c>
      <c r="D11" s="177">
        <v>498</v>
      </c>
      <c r="I11" s="5"/>
    </row>
    <row r="12" spans="1:9" ht="15" x14ac:dyDescent="0.25">
      <c r="A12" s="57" t="s">
        <v>133</v>
      </c>
      <c r="B12" s="178" t="s">
        <v>127</v>
      </c>
      <c r="C12" s="103">
        <v>505404741.08128309</v>
      </c>
      <c r="D12" s="177">
        <v>276</v>
      </c>
      <c r="I12" s="5"/>
    </row>
    <row r="13" spans="1:9" ht="15" x14ac:dyDescent="0.25">
      <c r="A13" s="57" t="s">
        <v>134</v>
      </c>
      <c r="B13" s="178" t="s">
        <v>29</v>
      </c>
      <c r="C13" s="103">
        <v>2195840348.9908309</v>
      </c>
      <c r="D13" s="177">
        <v>105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1">
        <f>C6+C9+C13</f>
        <v>4363944450.3538666</v>
      </c>
      <c r="D14" s="182">
        <f>D13+D9+D6</f>
        <v>49622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9"/>
      <c r="D23" s="158">
        <v>4282172858.21</v>
      </c>
      <c r="F23" s="7" t="str">
        <f>INDEX(Language!$D$2:$X$300,SUM(Language!AF23),IF(Overview!$A$1="EN",6,15))</f>
        <v>in EUR</v>
      </c>
      <c r="G23" s="8"/>
      <c r="H23" s="158">
        <v>3790709560.7600002</v>
      </c>
      <c r="I23" s="5"/>
    </row>
    <row r="24" spans="1:9" ht="15" x14ac:dyDescent="0.25">
      <c r="B24" s="102" t="s">
        <v>36</v>
      </c>
      <c r="C24" s="179"/>
      <c r="D24" s="158">
        <v>81771592.143867061</v>
      </c>
      <c r="F24" s="7" t="str">
        <f>INDEX(Language!$D$2:$X$300,SUM(Language!AF24),IF(Overview!$A$1="EN",6,15))</f>
        <v>in CHF</v>
      </c>
      <c r="G24" s="8"/>
      <c r="H24" s="158">
        <v>66277836.691410393</v>
      </c>
      <c r="I24" s="5"/>
    </row>
    <row r="25" spans="1:9" ht="15" x14ac:dyDescent="0.25">
      <c r="B25" s="102" t="s">
        <v>37</v>
      </c>
      <c r="C25" s="179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9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80">
        <f>SUM(D23:D27)</f>
        <v>4363944450.3538675</v>
      </c>
      <c r="E28" s="16"/>
      <c r="F28" s="21" t="str">
        <f>INDEX(Language!$D$2:$X$300,SUM(Language!AF28),IF(Overview!$A$1="EN",6,15))</f>
        <v>Total</v>
      </c>
      <c r="G28" s="23"/>
      <c r="H28" s="180">
        <f>SUM(H23:H27)</f>
        <v>3856987397.4514108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4363944450.3538666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4343944450.3538666</v>
      </c>
      <c r="D35" s="104">
        <f>IF(($C$69=0),0,(C35/$C$69))</f>
        <v>0.99541699024184915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4.5830097581508458E-3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4363944450.3538666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5" t="str">
        <f>INDEX(Language!$D$2:$X$300,SUM(Language!AG72),IF(Overview!$A$1="EN",7,16))</f>
        <v>Share in total</v>
      </c>
      <c r="H72" s="216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67"/>
      <c r="D73" s="30"/>
      <c r="E73" s="30"/>
      <c r="F73" s="187">
        <f>IF(($C$83=0),0,(C73/$C$83))</f>
        <v>0</v>
      </c>
      <c r="G73" s="207">
        <f>IF(($C$69=0),0,(C73/$C$69))</f>
        <v>0</v>
      </c>
      <c r="H73" s="208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67">
        <v>275601592.76999998</v>
      </c>
      <c r="D74" s="30"/>
      <c r="E74" s="30"/>
      <c r="F74" s="187">
        <f t="shared" ref="F74:F81" si="1">IF(($C$83=0),0,(C74/$C$83))</f>
        <v>6.3445008544607162E-2</v>
      </c>
      <c r="G74" s="207">
        <f t="shared" ref="G74:G81" si="2">IF(($C$69=0),0,(C74/$C$69))</f>
        <v>6.3154239451341271E-2</v>
      </c>
      <c r="H74" s="208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67">
        <v>3942310229.16433</v>
      </c>
      <c r="D75" s="30"/>
      <c r="E75" s="30"/>
      <c r="F75" s="187">
        <f t="shared" si="1"/>
        <v>0.90754158443328636</v>
      </c>
      <c r="G75" s="207">
        <f t="shared" si="2"/>
        <v>0.90338231249590106</v>
      </c>
      <c r="H75" s="208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67">
        <v>55524569.939999998</v>
      </c>
      <c r="D76" s="30"/>
      <c r="E76" s="30"/>
      <c r="F76" s="187">
        <f t="shared" si="1"/>
        <v>1.278206261027966E-2</v>
      </c>
      <c r="G76" s="207">
        <f t="shared" si="2"/>
        <v>1.2723482292607455E-2</v>
      </c>
      <c r="H76" s="208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67">
        <v>427577.49</v>
      </c>
      <c r="D77" s="30"/>
      <c r="E77" s="30"/>
      <c r="F77" s="187">
        <f t="shared" si="1"/>
        <v>9.8430699307208811E-5</v>
      </c>
      <c r="G77" s="207">
        <f t="shared" si="2"/>
        <v>9.797959045178228E-5</v>
      </c>
      <c r="H77" s="208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67">
        <v>32026.91</v>
      </c>
      <c r="D78" s="30"/>
      <c r="E78" s="30"/>
      <c r="F78" s="187">
        <f t="shared" si="1"/>
        <v>7.3727715365676502E-6</v>
      </c>
      <c r="G78" s="207">
        <f t="shared" si="2"/>
        <v>7.338982052670945E-6</v>
      </c>
      <c r="H78" s="208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67">
        <v>38052207</v>
      </c>
      <c r="D79" s="30"/>
      <c r="E79" s="30"/>
      <c r="F79" s="187">
        <f t="shared" si="1"/>
        <v>8.7598281780284226E-3</v>
      </c>
      <c r="G79" s="207">
        <f t="shared" si="2"/>
        <v>8.719681800008797E-3</v>
      </c>
      <c r="H79" s="208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67">
        <v>4649884.38</v>
      </c>
      <c r="D80" s="30"/>
      <c r="E80" s="30"/>
      <c r="F80" s="187">
        <f t="shared" si="1"/>
        <v>1.0704290612236558E-3</v>
      </c>
      <c r="G80" s="207">
        <f t="shared" si="2"/>
        <v>1.0655232743906598E-3</v>
      </c>
      <c r="H80" s="208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67">
        <v>23149625.18</v>
      </c>
      <c r="D81" s="30"/>
      <c r="E81" s="30"/>
      <c r="F81" s="187">
        <f t="shared" si="1"/>
        <v>5.3291715500906507E-3</v>
      </c>
      <c r="G81" s="207">
        <f t="shared" si="2"/>
        <v>5.3047479048737266E-3</v>
      </c>
      <c r="H81" s="208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67">
        <v>4196737.5195369301</v>
      </c>
      <c r="D82" s="30"/>
      <c r="E82" s="30"/>
      <c r="F82" s="187">
        <f>IF(($C$83=0),0,(C82/$C$83))</f>
        <v>9.6611215164021133E-4</v>
      </c>
      <c r="G82" s="207">
        <f>IF(($C$69=0),0,(C82/$C$69))</f>
        <v>9.6168445022177639E-4</v>
      </c>
      <c r="H82" s="208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4343944450.3538675</v>
      </c>
      <c r="D83" s="185"/>
      <c r="E83" s="185"/>
      <c r="F83" s="186">
        <f>SUM(F73:F82)</f>
        <v>1</v>
      </c>
      <c r="G83" s="209">
        <f>SUM(G73:H82)</f>
        <v>0.99541699024184915</v>
      </c>
      <c r="H83" s="210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13" t="str">
        <f>INDEX(Language!$D$2:$X$300,SUM(Language!AG87),IF(Overview!$A$1="EN",7,16))</f>
        <v>%</v>
      </c>
      <c r="H87" s="214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07">
        <f>IF(($F$95=0),0,(F88/$F$95))</f>
        <v>4.5830097581508449E-3</v>
      </c>
      <c r="H88" s="208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1534251666.8699999</v>
      </c>
      <c r="G89" s="207">
        <f t="shared" ref="G89:G94" si="3">IF(($F$95=0),0,(F89/$F$95))</f>
        <v>0.35157451803622042</v>
      </c>
      <c r="H89" s="208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v>352083053.85303599</v>
      </c>
      <c r="G90" s="207">
        <f t="shared" si="3"/>
        <v>8.0680003574400666E-2</v>
      </c>
      <c r="H90" s="208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07">
        <f t="shared" si="3"/>
        <v>0</v>
      </c>
      <c r="H91" s="208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2147382411.8100002</v>
      </c>
      <c r="G92" s="207">
        <f t="shared" si="3"/>
        <v>0.49207372739033634</v>
      </c>
      <c r="H92" s="208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v>206141998.646052</v>
      </c>
      <c r="G93" s="207">
        <f t="shared" si="3"/>
        <v>4.7237539567978729E-2</v>
      </c>
      <c r="H93" s="208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v>104085319.174779</v>
      </c>
      <c r="G94" s="207">
        <f t="shared" si="3"/>
        <v>2.385120167291287E-2</v>
      </c>
      <c r="H94" s="208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4363944450.3538675</v>
      </c>
      <c r="G95" s="209">
        <f>SUM(G88:H94)</f>
        <v>0.99999999999999978</v>
      </c>
      <c r="H95" s="210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11">
        <v>6.2993760129999998</v>
      </c>
      <c r="H99" s="212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760623210.41999996</v>
      </c>
      <c r="D102" s="104">
        <f>IF(($C$107=0),0,(C102/$C$107))</f>
        <v>0.17429717978154419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676337744.66999996</v>
      </c>
      <c r="D103" s="104">
        <f>IF(($C$107=0),0,(C103/$C$107))</f>
        <v>0.15498312418141724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323143320.66000003</v>
      </c>
      <c r="D104" s="104">
        <f>IF(($C$107=0),0,(C104/$C$107))</f>
        <v>7.4048449593302396E-2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1330076665.4747791</v>
      </c>
      <c r="D105" s="104">
        <f>IF(($C$107=0),0,(C105/$C$107))</f>
        <v>0.30478771684798256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1273763509.1290879</v>
      </c>
      <c r="D106" s="104">
        <f>IF(($C$107=0),0,(C106/$C$107))</f>
        <v>0.2918835295957537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4363944450.3538666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05" t="str">
        <f>INDEX(Language!$D$2:$X$300,SUM(Language!AB112),IF(Overview!$A$1="EN",2,11))</f>
        <v>WA residual life (incl. contractural amortisation)</v>
      </c>
      <c r="C112" s="206"/>
      <c r="D112" s="206"/>
      <c r="E112" s="132"/>
      <c r="F112" s="132"/>
      <c r="G112" s="132"/>
      <c r="H112" s="114">
        <v>9.6919812899999993</v>
      </c>
      <c r="I112" s="5"/>
    </row>
    <row r="113" spans="2:9" ht="15" x14ac:dyDescent="0.25">
      <c r="B113" s="203" t="str">
        <f>INDEX(Language!$D$2:$X$300,SUM(Language!AB113),IF(Overview!$A$1="EN",2,11))</f>
        <v>WA residual life (final legal maturity)</v>
      </c>
      <c r="C113" s="204"/>
      <c r="D113" s="204"/>
      <c r="E113" s="132"/>
      <c r="F113" s="132"/>
      <c r="G113" s="132"/>
      <c r="H113" s="114">
        <v>15.81315405</v>
      </c>
      <c r="I113" s="5"/>
    </row>
    <row r="114" spans="2:9" ht="15" customHeight="1" x14ac:dyDescent="0.25">
      <c r="B114" s="205" t="str">
        <f>INDEX(Language!$D$2:$X$300,SUM(Language!AB114),IF(Overview!$A$1="EN",2,11))</f>
        <v>WA residual life of issues (final legal maturity)</v>
      </c>
      <c r="C114" s="206"/>
      <c r="D114" s="206"/>
      <c r="E114" s="130"/>
      <c r="F114" s="130"/>
      <c r="G114" s="130"/>
      <c r="H114" s="114">
        <v>6.0220726200000003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63387682.280000001</v>
      </c>
      <c r="D118" s="104">
        <f>IF(($C$123=0),0,(C118/$C$123))</f>
        <v>1.452531832179027E-2</v>
      </c>
      <c r="F118" s="7" t="str">
        <f>INDEX(Language!$D$2:$X$300,SUM(Language!AF118),IF(Overview!$A$1="EN",6,15))</f>
        <v>≤ 12 months</v>
      </c>
      <c r="G118" s="103">
        <v>616030554.48141038</v>
      </c>
      <c r="H118" s="104">
        <f>IF(($G$123=0),0,(G118/$G$123))</f>
        <v>0.15971806257092416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262934170.81</v>
      </c>
      <c r="D119" s="104">
        <f>IF(($C$123=0),0,(C119/$C$123))</f>
        <v>6.025149352867655E-2</v>
      </c>
      <c r="F119" s="7" t="str">
        <f>INDEX(Language!$D$2:$X$300,SUM(Language!AF119),IF(Overview!$A$1="EN",6,15))</f>
        <v>12 - 36 months</v>
      </c>
      <c r="G119" s="103">
        <v>603000000</v>
      </c>
      <c r="H119" s="104">
        <f>IF(($G$123=0),0,(G119/$G$123))</f>
        <v>0.15633963450294017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341693139.41852593</v>
      </c>
      <c r="D120" s="104">
        <f>IF(($C$123=0),0,(C120/$C$123))</f>
        <v>7.8299149612415075E-2</v>
      </c>
      <c r="F120" s="7" t="str">
        <f>INDEX(Language!$D$2:$X$300,SUM(Language!AF120),IF(Overview!$A$1="EN",6,15))</f>
        <v>36 - 60 months</v>
      </c>
      <c r="G120" s="103">
        <v>1099721378.6300001</v>
      </c>
      <c r="H120" s="104">
        <f>IF(($G$123=0),0,(G120/$G$123))</f>
        <v>0.28512444177459983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609669868.42707312</v>
      </c>
      <c r="D121" s="104">
        <f>IF(($C$123=0),0,(C121/$C$123))</f>
        <v>0.13970614781259089</v>
      </c>
      <c r="F121" s="7" t="str">
        <f>INDEX(Language!$D$2:$X$300,SUM(Language!AF121),IF(Overview!$A$1="EN",6,15))</f>
        <v>60 - 120 months</v>
      </c>
      <c r="G121" s="103">
        <v>717650000</v>
      </c>
      <c r="H121" s="104">
        <f>IF(($G$123=0),0,(G121/$G$123))</f>
        <v>0.1860649066352156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3086259589.4182682</v>
      </c>
      <c r="D122" s="104">
        <f>IF(($C$123=0),0,(C122/$C$123))</f>
        <v>0.70721789072452712</v>
      </c>
      <c r="F122" s="7" t="str">
        <f>INDEX(Language!$D$2:$X$300,SUM(Language!AF122),IF(Overview!$A$1="EN",6,15))</f>
        <v>≥ 120 months</v>
      </c>
      <c r="G122" s="103">
        <v>820585464.34000003</v>
      </c>
      <c r="H122" s="104">
        <f>IF(($G$123=0),0,(G122/$G$123))</f>
        <v>0.21275295451632015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4363944450.3538675</v>
      </c>
      <c r="D123" s="172">
        <f>SUM(D118:D122)</f>
        <v>0.99999999999999989</v>
      </c>
      <c r="F123" s="12" t="str">
        <f>INDEX(Language!$D$2:$X$300,SUM(Language!AF123),IF(Overview!$A$1="EN",6,15))</f>
        <v>Total</v>
      </c>
      <c r="G123" s="171">
        <f>SUM(G118:G122)</f>
        <v>3856987397.4514108</v>
      </c>
      <c r="H123" s="172">
        <f>SUM(H118:H122)</f>
        <v>0.99999999999999989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2340489292.7829266</v>
      </c>
      <c r="F145" s="7" t="str">
        <f>INDEX(Language!$D$2:$X$300,SUM(Language!AF145),IF(Overview!$A$1="EN",6,15))</f>
        <v>Variable, fixed rate during the year</v>
      </c>
      <c r="G145" s="8"/>
      <c r="H145" s="158">
        <v>638680554.48141038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31960655.969999999</v>
      </c>
      <c r="F146" s="7" t="str">
        <f>INDEX(Language!$D$2:$X$300,SUM(Language!AF146),IF(Overview!$A$1="EN",6,15))</f>
        <v>Fixed rate, 1 - 2 years</v>
      </c>
      <c r="G146" s="8"/>
      <c r="H146" s="158">
        <v>25000000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99898870.980000004</v>
      </c>
      <c r="F147" s="7" t="str">
        <f>INDEX(Language!$D$2:$X$300,SUM(Language!AF147),IF(Overview!$A$1="EN",6,15))</f>
        <v>Fixed rate, 2 - 5 years</v>
      </c>
      <c r="G147" s="8"/>
      <c r="H147" s="158">
        <v>1677721378.6300001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1891595630.6209402</v>
      </c>
      <c r="F148" s="7" t="str">
        <f>INDEX(Language!$D$2:$X$300,SUM(Language!AF148),IF(Overview!$A$1="EN",6,15))</f>
        <v>Fixed rate, &gt; 5 years</v>
      </c>
      <c r="G148" s="8"/>
      <c r="H148" s="158">
        <v>1515585464.3399999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8">
        <f>SUM(D145:D148)</f>
        <v>4363944450.3538666</v>
      </c>
      <c r="F149" s="12" t="str">
        <f>INDEX(Language!$D$2:$X$300,SUM(Language!AF149),IF(Overview!$A$1="EN",6,15))</f>
        <v>Total</v>
      </c>
      <c r="G149" s="23"/>
      <c r="H149" s="188">
        <f>SUM(H145:H148)</f>
        <v>3856987397.4514103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G56" sqref="G56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91" t="str">
        <f>INDEX([2]Language!$D$2:$X$300,SUM([2]Language!AB207),IF([2]Overview!$A$1="EN",3,11))</f>
        <v>Overview</v>
      </c>
      <c r="C4" s="192"/>
      <c r="D4" s="191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175">
        <v>78345395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62">
        <v>67200000</v>
      </c>
    </row>
    <row r="8" spans="1:5" x14ac:dyDescent="0.25">
      <c r="B8" s="193" t="str">
        <f>INDEX([2]Language!$D$2:$X$300,SUM([2]Language!AB211),IF([2]Overview!$A$1="EN",3,11))</f>
        <v>Total</v>
      </c>
      <c r="C8" s="193"/>
      <c r="D8" s="189">
        <f>SUM(D5:D6)</f>
        <v>78345395</v>
      </c>
    </row>
    <row r="9" spans="1:5" x14ac:dyDescent="0.25">
      <c r="B9" s="193" t="str">
        <f>INDEX([2]Language!$D$2:$X$300,SUM([2]Language!AB212),IF([2]Overview!$A$1="EN",3,11))</f>
        <v>Additional cover pool (in % of total issues)</v>
      </c>
      <c r="C9" s="193"/>
      <c r="D9" s="190">
        <f>D8/[3]Primärdeckung!$C$14</f>
        <v>1.7952885489559124E-2</v>
      </c>
      <c r="E9" s="80"/>
    </row>
    <row r="11" spans="1:5" x14ac:dyDescent="0.25">
      <c r="B11" s="191" t="str">
        <f>INDEX([2]Language!$D$2:$X$300,SUM([2]Language!AB214),IF([2]Overview!$A$1="EN",3,11))</f>
        <v>Bonds by volume</v>
      </c>
      <c r="C11" s="192" t="str">
        <f>INDEX([2]Language!$D$2:$X$300,SUM([2]Language!AC214),IF([2]Overview!$A$1="EN",4,12))</f>
        <v>volume</v>
      </c>
      <c r="D11" s="194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81">
        <v>10000000</v>
      </c>
      <c r="D13" s="48">
        <v>3</v>
      </c>
    </row>
    <row r="14" spans="1:5" x14ac:dyDescent="0.25">
      <c r="B14" s="38" t="str">
        <f>INDEX([2]Language!$D$2:$X$300,SUM([2]Language!AB217),IF([2]Overview!$A$1="EN",3,11))</f>
        <v>≥ 5.000.000</v>
      </c>
      <c r="C14" s="81">
        <v>68345395</v>
      </c>
      <c r="D14" s="48">
        <v>6</v>
      </c>
    </row>
    <row r="15" spans="1:5" x14ac:dyDescent="0.25">
      <c r="B15" s="193" t="str">
        <f>INDEX([2]Language!$D$2:$X$300,SUM([2]Language!AB218),IF([2]Overview!$A$1="EN",3,11))</f>
        <v>Total</v>
      </c>
      <c r="C15" s="195">
        <f>SUM(C12:C14)</f>
        <v>78345395</v>
      </c>
      <c r="D15" s="196">
        <f>SUM(D12:D14)</f>
        <v>9</v>
      </c>
    </row>
    <row r="17" spans="2:4" x14ac:dyDescent="0.25">
      <c r="B17" s="191" t="str">
        <f>INDEX([2]Language!$D$2:$X$300,SUM([2]Language!AB220),IF([2]Overview!$A$1="EN",3,11))</f>
        <v>Additional cover pool by currencies</v>
      </c>
      <c r="C17" s="192" t="str">
        <f>INDEX([2]Language!$D$2:$X$300,SUM([2]Language!AC220),IF([2]Overview!$A$1="EN",4,12))</f>
        <v>volume</v>
      </c>
      <c r="D17" s="194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81">
        <v>78345395</v>
      </c>
      <c r="D18" s="198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8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8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8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8">
        <f>IF(($C$23=0),0,(C22/$C$23))</f>
        <v>0</v>
      </c>
    </row>
    <row r="23" spans="2:4" x14ac:dyDescent="0.25">
      <c r="B23" s="193" t="str">
        <f>INDEX([2]Language!$D$2:$X$300,SUM([2]Language!AB226),IF([2]Overview!$A$1="EN",3,11))</f>
        <v>Total</v>
      </c>
      <c r="C23" s="195">
        <f>SUM(C18:C22)</f>
        <v>78345395</v>
      </c>
      <c r="D23" s="197">
        <f>SUM(D18:D22)</f>
        <v>1</v>
      </c>
    </row>
    <row r="25" spans="2:4" x14ac:dyDescent="0.25">
      <c r="B25" s="191" t="str">
        <f>INDEX([2]Language!$D$2:$X$300,SUM([2]Language!AB228),IF([2]Overview!$A$1="EN",3,11))</f>
        <v>Regional distribution of additional cover pool</v>
      </c>
      <c r="C25" s="192" t="str">
        <f>INDEX([2]Language!$D$2:$X$300,SUM([2]Language!AC228),IF([2]Overview!$A$1="EN",4,12))</f>
        <v>Volumen</v>
      </c>
      <c r="D25" s="194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9">
        <f>SUM(C27:C54)</f>
        <v>78345395</v>
      </c>
      <c r="D26" s="200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81">
        <v>33345395</v>
      </c>
      <c r="D27" s="201">
        <f>IF(($C$61=0),0,(C27/$C$61))</f>
        <v>0.42562035713777435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201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201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201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201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81">
        <v>13000000</v>
      </c>
      <c r="D32" s="201">
        <f t="shared" si="0"/>
        <v>0.16593189682686518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201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201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201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201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201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201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201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201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201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201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201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201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201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/>
      <c r="D46" s="201">
        <f t="shared" si="0"/>
        <v>0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201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201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81">
        <v>32000000</v>
      </c>
      <c r="D49" s="201">
        <f t="shared" si="0"/>
        <v>0.40844774603536049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201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201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201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201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201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9">
        <f>SUM(C56:C58)</f>
        <v>0</v>
      </c>
      <c r="D55" s="200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200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200">
        <f>IF(($C$61=0),0,(C60/$C$61))</f>
        <v>0</v>
      </c>
    </row>
    <row r="61" spans="2:4" x14ac:dyDescent="0.25">
      <c r="B61" s="191" t="str">
        <f>INDEX([2]Language!$D$2:$X$300,SUM([2]Language!AB264),IF([2]Overview!$A$1="EN",3,11))</f>
        <v>Total</v>
      </c>
      <c r="C61" s="195">
        <f>C26+C55+C59+C60</f>
        <v>78345395</v>
      </c>
      <c r="D61" s="19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27" t="s">
        <v>169</v>
      </c>
      <c r="F2" s="227"/>
      <c r="G2" s="227"/>
      <c r="H2" s="84"/>
      <c r="I2" s="84" t="s">
        <v>0</v>
      </c>
      <c r="J2" s="202" t="s">
        <v>169</v>
      </c>
      <c r="K2" s="202"/>
      <c r="L2" s="202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5" t="s">
        <v>266</v>
      </c>
      <c r="K106" s="216"/>
      <c r="M106" s="2"/>
      <c r="N106" s="18"/>
      <c r="O106" s="19" t="s">
        <v>24</v>
      </c>
      <c r="P106" s="22"/>
      <c r="Q106" s="22"/>
      <c r="R106" s="19" t="s">
        <v>80</v>
      </c>
      <c r="S106" s="215" t="s">
        <v>117</v>
      </c>
      <c r="T106" s="216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3">
        <f>IF(($C$69=0),0,(F107/$C$69))</f>
        <v>0</v>
      </c>
      <c r="K107" s="224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3">
        <f>IF(($C$69=0),0,(O107/$C$69))</f>
        <v>0</v>
      </c>
      <c r="T107" s="224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3">
        <f t="shared" ref="J108:J114" si="5">IF(($C$69=0),0,(F108/$C$69))</f>
        <v>0</v>
      </c>
      <c r="K108" s="224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3">
        <f t="shared" ref="S108:S115" si="7">IF(($C$69=0),0,(O108/$C$69))</f>
        <v>0</v>
      </c>
      <c r="T108" s="224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3">
        <f t="shared" si="5"/>
        <v>0</v>
      </c>
      <c r="K109" s="224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3">
        <f t="shared" si="7"/>
        <v>0</v>
      </c>
      <c r="T109" s="224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3">
        <f t="shared" si="5"/>
        <v>0</v>
      </c>
      <c r="K110" s="224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3">
        <f t="shared" si="7"/>
        <v>0</v>
      </c>
      <c r="T110" s="224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3">
        <f t="shared" si="5"/>
        <v>0</v>
      </c>
      <c r="K111" s="224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3">
        <f t="shared" si="7"/>
        <v>0</v>
      </c>
      <c r="T111" s="224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3">
        <f t="shared" si="5"/>
        <v>0</v>
      </c>
      <c r="K112" s="224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3">
        <f t="shared" si="7"/>
        <v>0</v>
      </c>
      <c r="T112" s="224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3">
        <f t="shared" si="5"/>
        <v>0</v>
      </c>
      <c r="K113" s="224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3">
        <f t="shared" si="7"/>
        <v>0</v>
      </c>
      <c r="T113" s="224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3">
        <f t="shared" si="5"/>
        <v>0</v>
      </c>
      <c r="K114" s="224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3">
        <f t="shared" si="7"/>
        <v>0</v>
      </c>
      <c r="T114" s="224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3">
        <f>IF(($C$69=0),0,(F115/$C$69))</f>
        <v>0</v>
      </c>
      <c r="K115" s="224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3">
        <f t="shared" si="7"/>
        <v>0</v>
      </c>
      <c r="T115" s="224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3">
        <f>IF(($C$69=0),0,(F116/$C$69))</f>
        <v>0</v>
      </c>
      <c r="K116" s="224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3">
        <f>IF(($C$69=0),0,(O116/$C$69))</f>
        <v>0</v>
      </c>
      <c r="T116" s="224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19">
        <f>SUM(J107:K116)</f>
        <v>0</v>
      </c>
      <c r="K117" s="220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19">
        <f>SUM(S107:T116)</f>
        <v>0</v>
      </c>
      <c r="T117" s="220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17" t="s">
        <v>274</v>
      </c>
      <c r="F121" s="218"/>
      <c r="G121" s="119"/>
      <c r="H121" s="119"/>
      <c r="I121" s="119" t="s">
        <v>217</v>
      </c>
      <c r="J121" s="213" t="s">
        <v>41</v>
      </c>
      <c r="K121" s="214"/>
      <c r="M121" s="2"/>
      <c r="N121" s="217" t="s">
        <v>160</v>
      </c>
      <c r="O121" s="218"/>
      <c r="P121" s="127"/>
      <c r="Q121" s="127"/>
      <c r="R121" s="127" t="s">
        <v>24</v>
      </c>
      <c r="S121" s="213" t="s">
        <v>41</v>
      </c>
      <c r="T121" s="214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28" t="s">
        <v>275</v>
      </c>
      <c r="F122" s="229"/>
      <c r="G122" s="8"/>
      <c r="H122" s="8"/>
      <c r="I122" s="67">
        <v>20000000</v>
      </c>
      <c r="J122" s="223">
        <f>IF(($F$95=0),0,(I122/$F$95))</f>
        <v>1</v>
      </c>
      <c r="K122" s="224"/>
      <c r="M122" s="2"/>
      <c r="N122" s="221" t="s">
        <v>158</v>
      </c>
      <c r="O122" s="222"/>
      <c r="P122" s="8"/>
      <c r="Q122" s="8"/>
      <c r="R122" s="67">
        <v>9999999999</v>
      </c>
      <c r="S122" s="223">
        <f>IF(($F$95=0),0,(R122/$F$95))</f>
        <v>499.99999995000002</v>
      </c>
      <c r="T122" s="224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30" t="s">
        <v>276</v>
      </c>
      <c r="F123" s="231"/>
      <c r="G123" s="8"/>
      <c r="H123" s="8"/>
      <c r="I123" s="67">
        <v>20000000</v>
      </c>
      <c r="J123" s="223">
        <f>IF(($F$95=0),0,(I123/$F$95))</f>
        <v>1</v>
      </c>
      <c r="K123" s="224"/>
      <c r="M123" s="2"/>
      <c r="N123" s="221" t="s">
        <v>155</v>
      </c>
      <c r="O123" s="222"/>
      <c r="P123" s="8"/>
      <c r="Q123" s="8"/>
      <c r="R123" s="67">
        <v>0</v>
      </c>
      <c r="S123" s="223">
        <f t="shared" ref="S123:S128" si="8">IF(($F$95=0),0,(R123/$F$95))</f>
        <v>0</v>
      </c>
      <c r="T123" s="224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30" t="s">
        <v>277</v>
      </c>
      <c r="F124" s="231"/>
      <c r="G124" s="8"/>
      <c r="H124" s="8"/>
      <c r="I124" s="67">
        <v>20000000</v>
      </c>
      <c r="J124" s="223">
        <f t="shared" ref="J124:J128" si="9">IF(($F$95=0),0,(I124/$F$95))</f>
        <v>1</v>
      </c>
      <c r="K124" s="224"/>
      <c r="M124" s="2"/>
      <c r="N124" s="225" t="s">
        <v>154</v>
      </c>
      <c r="O124" s="226"/>
      <c r="P124" s="8"/>
      <c r="Q124" s="8"/>
      <c r="R124" s="67">
        <v>0</v>
      </c>
      <c r="S124" s="223">
        <f t="shared" si="8"/>
        <v>0</v>
      </c>
      <c r="T124" s="224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30" t="s">
        <v>278</v>
      </c>
      <c r="F125" s="231"/>
      <c r="G125" s="8"/>
      <c r="H125" s="8"/>
      <c r="I125" s="67">
        <v>20000000</v>
      </c>
      <c r="J125" s="223">
        <f t="shared" si="9"/>
        <v>1</v>
      </c>
      <c r="K125" s="224"/>
      <c r="M125" s="2"/>
      <c r="N125" s="221" t="s">
        <v>157</v>
      </c>
      <c r="O125" s="222"/>
      <c r="P125" s="8"/>
      <c r="Q125" s="8"/>
      <c r="R125" s="67">
        <v>9999999999</v>
      </c>
      <c r="S125" s="223">
        <f t="shared" si="8"/>
        <v>499.99999995000002</v>
      </c>
      <c r="T125" s="224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30" t="s">
        <v>279</v>
      </c>
      <c r="F126" s="231"/>
      <c r="G126" s="8"/>
      <c r="H126" s="8"/>
      <c r="I126" s="67">
        <v>20000000</v>
      </c>
      <c r="J126" s="223">
        <f t="shared" si="9"/>
        <v>1</v>
      </c>
      <c r="K126" s="224"/>
      <c r="M126" s="2"/>
      <c r="N126" s="221" t="s">
        <v>156</v>
      </c>
      <c r="O126" s="222"/>
      <c r="P126" s="8"/>
      <c r="Q126" s="8"/>
      <c r="R126" s="67">
        <v>559101638.75</v>
      </c>
      <c r="S126" s="223">
        <f t="shared" si="8"/>
        <v>27.955081937500001</v>
      </c>
      <c r="T126" s="224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30" t="s">
        <v>280</v>
      </c>
      <c r="F127" s="231"/>
      <c r="G127" s="8"/>
      <c r="H127" s="8"/>
      <c r="I127" s="67">
        <v>20000000</v>
      </c>
      <c r="J127" s="223">
        <f t="shared" si="9"/>
        <v>1</v>
      </c>
      <c r="K127" s="224"/>
      <c r="M127" s="2"/>
      <c r="N127" s="221" t="s">
        <v>159</v>
      </c>
      <c r="O127" s="222"/>
      <c r="P127" s="8"/>
      <c r="Q127" s="8"/>
      <c r="R127" s="67">
        <v>442366849.20999998</v>
      </c>
      <c r="S127" s="223">
        <f t="shared" si="8"/>
        <v>22.118342460499999</v>
      </c>
      <c r="T127" s="224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30" t="s">
        <v>281</v>
      </c>
      <c r="F128" s="231"/>
      <c r="G128" s="8"/>
      <c r="H128" s="8"/>
      <c r="I128" s="67">
        <v>20000000</v>
      </c>
      <c r="J128" s="223">
        <f t="shared" si="9"/>
        <v>1</v>
      </c>
      <c r="K128" s="224"/>
      <c r="M128" s="2"/>
      <c r="N128" s="221" t="s">
        <v>168</v>
      </c>
      <c r="O128" s="222"/>
      <c r="P128" s="8"/>
      <c r="Q128" s="8"/>
      <c r="R128" s="67">
        <v>2333333</v>
      </c>
      <c r="S128" s="223">
        <f t="shared" si="8"/>
        <v>0.11666665</v>
      </c>
      <c r="T128" s="224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17" t="s">
        <v>224</v>
      </c>
      <c r="F129" s="218"/>
      <c r="G129" s="23"/>
      <c r="H129" s="23"/>
      <c r="I129" s="72">
        <f>SUM(I122:I128)</f>
        <v>140000000</v>
      </c>
      <c r="J129" s="219">
        <f>SUM(J122:K128)</f>
        <v>7</v>
      </c>
      <c r="K129" s="220"/>
      <c r="M129" s="2"/>
      <c r="N129" s="217" t="s">
        <v>30</v>
      </c>
      <c r="O129" s="218"/>
      <c r="P129" s="23"/>
      <c r="Q129" s="23"/>
      <c r="R129" s="72">
        <f>SUM(R122:R128)</f>
        <v>21003801818.959999</v>
      </c>
      <c r="S129" s="219">
        <f>SUM(S122:T128)</f>
        <v>1050.190090948</v>
      </c>
      <c r="T129" s="220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11">
        <v>5</v>
      </c>
      <c r="K133" s="212"/>
      <c r="M133" s="2"/>
      <c r="N133" s="32" t="s">
        <v>177</v>
      </c>
      <c r="O133" s="33"/>
      <c r="P133" s="33"/>
      <c r="Q133" s="33"/>
      <c r="R133" s="33"/>
      <c r="S133" s="211">
        <v>5</v>
      </c>
      <c r="T133" s="212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25" t="s">
        <v>290</v>
      </c>
      <c r="F146" s="222"/>
      <c r="G146" s="222"/>
      <c r="H146" s="222"/>
      <c r="I146" s="222"/>
      <c r="J146" s="222"/>
      <c r="K146" s="133">
        <v>5</v>
      </c>
      <c r="M146" s="2"/>
      <c r="N146" s="205" t="s">
        <v>172</v>
      </c>
      <c r="O146" s="204"/>
      <c r="P146" s="204"/>
      <c r="Q146" s="204"/>
      <c r="R146" s="204"/>
      <c r="S146" s="204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25" t="s">
        <v>291</v>
      </c>
      <c r="F147" s="222"/>
      <c r="G147" s="222"/>
      <c r="H147" s="222"/>
      <c r="I147" s="222"/>
      <c r="J147" s="222"/>
      <c r="K147" s="133">
        <v>5</v>
      </c>
      <c r="M147" s="2"/>
      <c r="N147" s="203" t="s">
        <v>173</v>
      </c>
      <c r="O147" s="204"/>
      <c r="P147" s="204"/>
      <c r="Q147" s="204"/>
      <c r="R147" s="204"/>
      <c r="S147" s="204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25" t="s">
        <v>292</v>
      </c>
      <c r="F148" s="222"/>
      <c r="G148" s="222"/>
      <c r="H148" s="222"/>
      <c r="I148" s="222"/>
      <c r="J148" s="222"/>
      <c r="K148" s="133">
        <v>5</v>
      </c>
      <c r="M148" s="2"/>
      <c r="N148" s="205" t="s">
        <v>146</v>
      </c>
      <c r="O148" s="206"/>
      <c r="P148" s="206"/>
      <c r="Q148" s="206"/>
      <c r="R148" s="206"/>
      <c r="S148" s="206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2018-07-10T08:37:34Z</cp:lastPrinted>
  <dcterms:created xsi:type="dcterms:W3CDTF">2013-10-29T11:27:30Z</dcterms:created>
  <dcterms:modified xsi:type="dcterms:W3CDTF">2018-10-29T07:58:35Z</dcterms:modified>
</cp:coreProperties>
</file>