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Pfandbriefforum\2018-09\EN\xlsx\"/>
    </mc:Choice>
  </mc:AlternateContent>
  <bookViews>
    <workbookView xWindow="0" yWindow="0" windowWidth="25200" windowHeight="12465" activeTab="1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</externalReferences>
  <definedNames>
    <definedName name="ANZAHL_ASSETS">Overview!$D$17</definedName>
    <definedName name="ANZAHL_EMISSIONEN">Overview!$D$30</definedName>
    <definedName name="ANZAHL_SCHULDNER">Overview!$D$18</definedName>
    <definedName name="_xlnm.Print_Area" localSheetId="0">Overview!$A$1:$E$34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71027"/>
</workbook>
</file>

<file path=xl/calcChain.xml><?xml version="1.0" encoding="utf-8"?>
<calcChain xmlns="http://schemas.openxmlformats.org/spreadsheetml/2006/main">
  <c r="C17" i="3" l="1"/>
  <c r="C25" i="3"/>
  <c r="F122" i="2" l="1"/>
  <c r="F118" i="2"/>
  <c r="D9" i="2"/>
  <c r="C9" i="2"/>
  <c r="C14" i="2" s="1"/>
  <c r="D6" i="2"/>
  <c r="C6" i="2"/>
  <c r="B40" i="3" l="1"/>
  <c r="C26" i="3" l="1"/>
  <c r="H200" i="2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H171" i="2" l="1"/>
  <c r="H174" i="2"/>
  <c r="H170" i="2"/>
  <c r="H173" i="2"/>
  <c r="H172" i="2"/>
  <c r="D172" i="2"/>
  <c r="D171" i="2"/>
  <c r="D174" i="2"/>
  <c r="D170" i="2"/>
  <c r="D173" i="2"/>
  <c r="H147" i="2"/>
  <c r="H146" i="2"/>
  <c r="H149" i="2"/>
  <c r="H145" i="2"/>
  <c r="H148" i="2"/>
  <c r="D147" i="2"/>
  <c r="D149" i="2"/>
  <c r="D146" i="2"/>
  <c r="D145" i="2"/>
  <c r="D148" i="2"/>
  <c r="D138" i="2"/>
  <c r="D141" i="2"/>
  <c r="D137" i="2"/>
  <c r="D140" i="2"/>
  <c r="D139" i="2"/>
  <c r="F111" i="2"/>
  <c r="F109" i="2"/>
  <c r="F107" i="2"/>
  <c r="F105" i="2"/>
  <c r="F112" i="2"/>
  <c r="F110" i="2"/>
  <c r="F108" i="2"/>
  <c r="F106" i="2"/>
  <c r="F104" i="2"/>
  <c r="H55" i="2"/>
  <c r="H51" i="2"/>
  <c r="H47" i="2"/>
  <c r="H54" i="2"/>
  <c r="H50" i="2"/>
  <c r="H57" i="2"/>
  <c r="H53" i="2"/>
  <c r="H49" i="2"/>
  <c r="H56" i="2"/>
  <c r="H52" i="2"/>
  <c r="H48" i="2"/>
  <c r="D55" i="2"/>
  <c r="D51" i="2"/>
  <c r="D47" i="2"/>
  <c r="D54" i="2"/>
  <c r="D50" i="2"/>
  <c r="D57" i="2"/>
  <c r="D53" i="2"/>
  <c r="D49" i="2"/>
  <c r="D56" i="2"/>
  <c r="D52" i="2"/>
  <c r="D48" i="2"/>
  <c r="D41" i="2"/>
  <c r="D37" i="2"/>
  <c r="D33" i="2"/>
  <c r="D40" i="2"/>
  <c r="D36" i="2"/>
  <c r="D43" i="2"/>
  <c r="D39" i="2"/>
  <c r="D35" i="2"/>
  <c r="D42" i="2"/>
  <c r="D38" i="2"/>
  <c r="D34" i="2"/>
  <c r="F130" i="2"/>
  <c r="C99" i="2"/>
  <c r="D14" i="2"/>
  <c r="C55" i="3"/>
  <c r="C23" i="3"/>
  <c r="C15" i="3"/>
  <c r="D15" i="3"/>
  <c r="G110" i="2" l="1"/>
  <c r="G106" i="2"/>
  <c r="G109" i="2"/>
  <c r="G105" i="2"/>
  <c r="G108" i="2"/>
  <c r="G104" i="2"/>
  <c r="G111" i="2"/>
  <c r="G107" i="2"/>
  <c r="G112" i="2"/>
  <c r="G127" i="2"/>
  <c r="G123" i="2"/>
  <c r="G120" i="2"/>
  <c r="G126" i="2"/>
  <c r="G119" i="2"/>
  <c r="G129" i="2"/>
  <c r="G125" i="2"/>
  <c r="G128" i="2"/>
  <c r="G124" i="2"/>
  <c r="G121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D22" i="3"/>
  <c r="D18" i="3"/>
  <c r="D19" i="3"/>
  <c r="D21" i="3"/>
  <c r="D20" i="3"/>
  <c r="G122" i="2" l="1"/>
  <c r="G118" i="2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6" i="1"/>
  <c r="B35" i="1"/>
  <c r="B33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C61" i="3" l="1"/>
  <c r="D23" i="3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D27" i="3"/>
  <c r="J167" i="5"/>
  <c r="S167" i="5"/>
  <c r="D55" i="3" l="1"/>
  <c r="D26" i="3"/>
  <c r="C21" i="1"/>
  <c r="C20" i="1"/>
  <c r="C13" i="1"/>
  <c r="C12" i="1"/>
  <c r="D61" i="3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<sst xmlns="http://schemas.openxmlformats.org/spreadsheetml/2006/main" count="788" uniqueCount="371">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</sst>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170" fontId="1" fillId="0" borderId="0" applyFont="0" applyFill="0" applyBorder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3" fillId="2" borderId="12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165" fontId="1" fillId="0" borderId="11" xfId="125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9" fontId="3" fillId="0" borderId="11" xfId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1" fillId="0" borderId="11" xfId="125" applyNumberFormat="1" applyFont="1" applyFill="1" applyBorder="1" applyAlignment="1">
      <alignment horizontal="center"/>
    </xf>
    <xf numFmtId="164" fontId="3" fillId="0" borderId="11" xfId="138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71" fontId="2" fillId="3" borderId="12" xfId="1" applyNumberFormat="1" applyFont="1" applyFill="1" applyBorder="1" applyAlignment="1">
      <alignment horizontal="center"/>
    </xf>
    <xf numFmtId="0" fontId="0" fillId="28" borderId="0" xfId="0" applyFill="1"/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39">
    <cellStyle name="20% - Accent1" xfId="89"/>
    <cellStyle name="20% - Accent2" xfId="90"/>
    <cellStyle name="20% - Accent3" xfId="91"/>
    <cellStyle name="20% - Accent4" xfId="92"/>
    <cellStyle name="20% - Accent5" xfId="93"/>
    <cellStyle name="20% - Accent6" xfId="94"/>
    <cellStyle name="20% - Akzent1 2" xfId="3"/>
    <cellStyle name="20% - Akzent1 2 2" xfId="4"/>
    <cellStyle name="20% - Akzent1 2 3" xfId="5"/>
    <cellStyle name="20% - Akzent1 2 4" xfId="6"/>
    <cellStyle name="20% - Akzent1 3" xfId="7"/>
    <cellStyle name="20% - Akzent1 4" xfId="8"/>
    <cellStyle name="20% - Akzent3 2" xfId="9"/>
    <cellStyle name="20% - Akzent3 2 2" xfId="10"/>
    <cellStyle name="20% - Akzent3 2 3" xfId="11"/>
    <cellStyle name="20% - Akzent3 2 4" xfId="12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Akzent6 2" xfId="13"/>
    <cellStyle name="40% - Akzent6 2 2" xfId="14"/>
    <cellStyle name="40% - Akzent6 2 3" xfId="15"/>
    <cellStyle name="40% - Akzent6 2 4" xfId="16"/>
    <cellStyle name="40% - Akzent6 3" xfId="17"/>
    <cellStyle name="40% - Akzent6 4" xfId="18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Calculation" xfId="114"/>
    <cellStyle name="Check Cell" xfId="115"/>
    <cellStyle name="Dezimal 2" xfId="19"/>
    <cellStyle name="Dezimal 2 2" xfId="117"/>
    <cellStyle name="Dezimal 2_Overview" xfId="116"/>
    <cellStyle name="Dezimal 3" xfId="20"/>
    <cellStyle name="Dezimal 4" xfId="21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Komma" xfId="2" builtinId="3"/>
    <cellStyle name="Komma_Overview" xfId="125"/>
    <cellStyle name="Komma_Primary Cover Pool" xfId="138"/>
    <cellStyle name="Linked Cell" xfId="126"/>
    <cellStyle name="Note" xfId="127"/>
    <cellStyle name="Output" xfId="128"/>
    <cellStyle name="Prozent" xfId="1" builtinId="5"/>
    <cellStyle name="Prozent 2" xfId="22"/>
    <cellStyle name="Prozent 2 2" xfId="129"/>
    <cellStyle name="Prozent 3" xfId="23"/>
    <cellStyle name="Prozent 4" xfId="24"/>
    <cellStyle name="Prozent 5" xfId="25"/>
    <cellStyle name="Prozent 5 2" xfId="26"/>
    <cellStyle name="Prozent 5 2 2" xfId="27"/>
    <cellStyle name="Prozent 5 2 3" xfId="28"/>
    <cellStyle name="Prozent 5 2 4" xfId="29"/>
    <cellStyle name="Prozent 5 3" xfId="30"/>
    <cellStyle name="Prozent 5 3 2" xfId="31"/>
    <cellStyle name="Prozent 5 3 3" xfId="32"/>
    <cellStyle name="Prozent 5 3 4" xfId="33"/>
    <cellStyle name="Prozent 5 4" xfId="34"/>
    <cellStyle name="Prozent 5 5" xfId="35"/>
    <cellStyle name="Prozent 5 6" xfId="36"/>
    <cellStyle name="Standard" xfId="0" builtinId="0"/>
    <cellStyle name="Standard 2" xfId="37"/>
    <cellStyle name="Standard 2 2" xfId="38"/>
    <cellStyle name="Standard 2_Overview" xfId="130"/>
    <cellStyle name="Standard 3" xfId="39"/>
    <cellStyle name="Standard 3 2" xfId="40"/>
    <cellStyle name="Standard 3 2 2" xfId="41"/>
    <cellStyle name="Standard 3 2 2 2" xfId="42"/>
    <cellStyle name="Standard 3 2 2 3" xfId="43"/>
    <cellStyle name="Standard 3 2 2 4" xfId="44"/>
    <cellStyle name="Standard 3 2 3" xfId="45"/>
    <cellStyle name="Standard 3 2 3 2" xfId="46"/>
    <cellStyle name="Standard 3 2 3 3" xfId="47"/>
    <cellStyle name="Standard 3 2 3 4" xfId="48"/>
    <cellStyle name="Standard 3 2 4" xfId="49"/>
    <cellStyle name="Standard 3 2 5" xfId="50"/>
    <cellStyle name="Standard 3 2 6" xfId="51"/>
    <cellStyle name="Standard 3 3" xfId="52"/>
    <cellStyle name="Standard 3 3 2" xfId="53"/>
    <cellStyle name="Standard 3 3 3" xfId="54"/>
    <cellStyle name="Standard 3 3 4" xfId="55"/>
    <cellStyle name="Standard 3 4" xfId="56"/>
    <cellStyle name="Standard 3 4 2" xfId="57"/>
    <cellStyle name="Standard 3 4 3" xfId="58"/>
    <cellStyle name="Standard 3 4 4" xfId="59"/>
    <cellStyle name="Standard 3 5" xfId="60"/>
    <cellStyle name="Standard 3 6" xfId="61"/>
    <cellStyle name="Standard 3 7" xfId="62"/>
    <cellStyle name="Standard 3_Overview" xfId="131"/>
    <cellStyle name="Standard 4" xfId="63"/>
    <cellStyle name="Standard 5" xfId="64"/>
    <cellStyle name="Standard 6" xfId="65"/>
    <cellStyle name="Standard 6 2" xfId="66"/>
    <cellStyle name="Standard 6 2 2" xfId="67"/>
    <cellStyle name="Standard 6 2 3" xfId="68"/>
    <cellStyle name="Standard 6 2 4" xfId="69"/>
    <cellStyle name="Standard 6 3" xfId="70"/>
    <cellStyle name="Standard 6 3 2" xfId="71"/>
    <cellStyle name="Standard 6 3 3" xfId="72"/>
    <cellStyle name="Standard 6 3 4" xfId="73"/>
    <cellStyle name="Standard 6 4" xfId="74"/>
    <cellStyle name="Standard 6 5" xfId="75"/>
    <cellStyle name="Standard 6 6" xfId="76"/>
    <cellStyle name="Standard 7" xfId="77"/>
    <cellStyle name="Standard 7 2" xfId="78"/>
    <cellStyle name="Standard 7 2 2" xfId="79"/>
    <cellStyle name="Standard 7 2 3" xfId="80"/>
    <cellStyle name="Standard 7 2 4" xfId="81"/>
    <cellStyle name="Standard 7 3" xfId="82"/>
    <cellStyle name="Standard 7 3 2" xfId="83"/>
    <cellStyle name="Standard 7 3 3" xfId="84"/>
    <cellStyle name="Standard 7 3 4" xfId="85"/>
    <cellStyle name="Standard 7 4" xfId="86"/>
    <cellStyle name="Standard 7 5" xfId="87"/>
    <cellStyle name="Standard 7 6" xfId="88"/>
    <cellStyle name="Style 1" xfId="132"/>
    <cellStyle name="Style 1 2" xfId="133"/>
    <cellStyle name="Style 1 2 2" xfId="134"/>
    <cellStyle name="Title" xfId="135"/>
    <cellStyle name="Total" xfId="136"/>
    <cellStyle name="Warning Text" xfId="137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229203525.05952701</c:v>
                </c:pt>
                <c:pt idx="1">
                  <c:v>328257743.12119734</c:v>
                </c:pt>
                <c:pt idx="2">
                  <c:v>113798979.11440426</c:v>
                </c:pt>
                <c:pt idx="3">
                  <c:v>196882581.76985151</c:v>
                </c:pt>
                <c:pt idx="4">
                  <c:v>416591008.89328736</c:v>
                </c:pt>
                <c:pt idx="5">
                  <c:v>359594874.16000003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470598510.37829721</c:v>
                </c:pt>
                <c:pt idx="1">
                  <c:v>245650081.25999999</c:v>
                </c:pt>
                <c:pt idx="2">
                  <c:v>419806975.22080225</c:v>
                </c:pt>
                <c:pt idx="3">
                  <c:v>223258526.25704476</c:v>
                </c:pt>
                <c:pt idx="4">
                  <c:v>132875172.7089112</c:v>
                </c:pt>
                <c:pt idx="5">
                  <c:v>33283005.688646112</c:v>
                </c:pt>
                <c:pt idx="6">
                  <c:v>29765544.61199715</c:v>
                </c:pt>
                <c:pt idx="7">
                  <c:v>24852762.749589939</c:v>
                </c:pt>
                <c:pt idx="8">
                  <c:v>12752931.244916899</c:v>
                </c:pt>
                <c:pt idx="9">
                  <c:v>12332226.37017318</c:v>
                </c:pt>
                <c:pt idx="10">
                  <c:v>39152975.629013613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237570915.99000007</c:v>
                </c:pt>
                <c:pt idx="1">
                  <c:v>405766906.54000002</c:v>
                </c:pt>
                <c:pt idx="2">
                  <c:v>327814594.24000001</c:v>
                </c:pt>
                <c:pt idx="3">
                  <c:v>387759347.81397253</c:v>
                </c:pt>
                <c:pt idx="4">
                  <c:v>285416947.5342949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164597670.55455637</c:v>
                </c:pt>
                <c:pt idx="1">
                  <c:v>112822079.98856483</c:v>
                </c:pt>
                <c:pt idx="2">
                  <c:v>104943043.49704842</c:v>
                </c:pt>
                <c:pt idx="3">
                  <c:v>161976516.45560947</c:v>
                </c:pt>
                <c:pt idx="4">
                  <c:v>1099989401.6224883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54379000</c:v>
                </c:pt>
                <c:pt idx="1">
                  <c:v>1013000000</c:v>
                </c:pt>
                <c:pt idx="3">
                  <c:v>32086000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0.7982546970265898</c:v>
                </c:pt>
                <c:pt idx="1">
                  <c:v>0.42434132147621334</c:v>
                </c:pt>
                <c:pt idx="2">
                  <c:v>0.34817220378631131</c:v>
                </c:pt>
                <c:pt idx="3">
                  <c:v>2.5741171764065218E-2</c:v>
                </c:pt>
                <c:pt idx="4">
                  <c:v>0.20174530297341028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D30" sqref="D30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7" customFormat="1" ht="36" customHeight="1" thickBot="1" x14ac:dyDescent="0.3">
      <c r="A1" s="186" t="s">
        <v>189</v>
      </c>
      <c r="B1" s="186" t="s">
        <v>0</v>
      </c>
      <c r="C1" s="210" t="s">
        <v>369</v>
      </c>
      <c r="D1" s="210"/>
      <c r="E1" s="210"/>
    </row>
    <row r="2" spans="1:5" x14ac:dyDescent="0.25">
      <c r="B2" s="1" t="str">
        <f>INDEX(Language!D2:M33,2,IF(A1="EN",1,6))</f>
        <v>Report Date</v>
      </c>
      <c r="D2" s="81">
        <v>43373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8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9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89">
        <v>0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05">
        <v>1109465000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05">
        <v>1668764712.1182675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90" t="s">
        <v>7</v>
      </c>
      <c r="D14" s="190" t="s">
        <v>8</v>
      </c>
      <c r="E14" s="190" t="s">
        <v>9</v>
      </c>
    </row>
    <row r="15" spans="1:5" ht="16.5" customHeight="1" x14ac:dyDescent="0.25">
      <c r="B15" s="136" t="str">
        <f>INDEX(Language!D2:M33,15,IF(A1="EN",1,6))</f>
        <v>Issuer rating</v>
      </c>
      <c r="C15" s="190" t="s">
        <v>120</v>
      </c>
      <c r="D15" s="190" t="s">
        <v>120</v>
      </c>
      <c r="E15" s="190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90" t="s">
        <v>367</v>
      </c>
      <c r="D16" s="190" t="s">
        <v>120</v>
      </c>
      <c r="E16" s="190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91">
        <v>8809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91">
        <v>6727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91">
        <v>7576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196">
        <v>248069.67624769846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196">
        <v>189438.60961724003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89">
        <v>8.2108192847932997E-4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89">
        <v>0.11836816998668384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89">
        <v>0.12425140963997373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89">
        <v>2.4467657112450785E-2</v>
      </c>
      <c r="E25" s="136"/>
    </row>
    <row r="26" spans="2:5" ht="16.5" customHeight="1" x14ac:dyDescent="0.25">
      <c r="B26" s="191" t="str">
        <f>INDEX(Language!D2:M33,26,IF(A1="EN",1,6))</f>
        <v>Share of issues in foreign currency (% of primary cover pool)</v>
      </c>
      <c r="C26" s="36"/>
      <c r="D26" s="89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89">
        <v>0.20802874154604981</v>
      </c>
      <c r="E27" s="136"/>
    </row>
    <row r="28" spans="2:5" ht="16.5" customHeight="1" x14ac:dyDescent="0.25">
      <c r="B28" s="136" t="str">
        <f>INDEX(Language!D2:M33,28,IF(A1="EN",1,6))</f>
        <v>Nominal over-collateralisation (total cover pool / outstanding issues in %)</v>
      </c>
      <c r="C28" s="36"/>
      <c r="D28" s="89">
        <v>0.50411658963398343</v>
      </c>
      <c r="E28" s="136"/>
    </row>
    <row r="29" spans="2:5" ht="16.5" customHeight="1" x14ac:dyDescent="0.25">
      <c r="B29" s="136" t="str">
        <f>INDEX(Language!D2:M33,29,IF(A1="EN",1,6))</f>
        <v>Present value over-collateralisation (PV total cover pool / PV outstanding issues in %)</v>
      </c>
      <c r="C29" s="36"/>
      <c r="D29" s="89">
        <v>0.63196187009184224</v>
      </c>
      <c r="E29" s="136"/>
    </row>
    <row r="30" spans="2:5" ht="16.5" customHeight="1" x14ac:dyDescent="0.25">
      <c r="B30" s="136" t="str">
        <f>INDEX(Language!D2:M33,30,IF(A1="EN",1,6))</f>
        <v>Number of issues</v>
      </c>
      <c r="C30" s="36"/>
      <c r="D30" s="91">
        <v>13</v>
      </c>
      <c r="E30" s="136"/>
    </row>
    <row r="31" spans="2:5" ht="16.5" customHeight="1" x14ac:dyDescent="0.25">
      <c r="B31" s="136" t="str">
        <f>INDEX(Language!D2:M33,31,IF(A1="EN",1,6))</f>
        <v>Average issue size</v>
      </c>
      <c r="C31" s="36"/>
      <c r="D31" s="135">
        <v>85343461.538461536</v>
      </c>
      <c r="E31" s="136"/>
    </row>
    <row r="32" spans="2:5" ht="16.5" customHeight="1" x14ac:dyDescent="0.25">
      <c r="B32" s="136" t="str">
        <f>INDEX(Language!D2:M33,32,IF(A1="EN",1,6))</f>
        <v>WA LTV according to rating agency definition (%) *</v>
      </c>
      <c r="C32" s="36"/>
      <c r="D32" s="89">
        <v>0.52787071699999999</v>
      </c>
      <c r="E32" s="136"/>
    </row>
    <row r="33" spans="2:5" x14ac:dyDescent="0.25">
      <c r="B33" s="136" t="str">
        <f>INDEX(Language!D3:M34,32,IF(A1="EN",1,6))</f>
        <v>WA LTV according to Austrian definition (%) **</v>
      </c>
      <c r="C33" s="36"/>
      <c r="D33" s="89">
        <v>0.47477008500000001</v>
      </c>
      <c r="E33" s="136"/>
    </row>
    <row r="34" spans="2:5" x14ac:dyDescent="0.25">
      <c r="B34" s="192"/>
      <c r="C34" s="193"/>
      <c r="D34" s="194"/>
    </row>
    <row r="35" spans="2:5" ht="32.25" customHeight="1" x14ac:dyDescent="0.25">
      <c r="B35" s="211" t="str">
        <f>INDEX(Language!D5:M36,32,IF($A$1="EN",1,6))</f>
        <v>*LTV definition rating agencies: (total loans outstanding per borrower + total prior-ranking mortgages)/ total of property values</v>
      </c>
      <c r="C35" s="211"/>
      <c r="D35" s="211"/>
      <c r="E35" s="211"/>
    </row>
    <row r="36" spans="2:5" ht="21.75" customHeight="1" x14ac:dyDescent="0.25">
      <c r="B36" s="211" t="str">
        <f>INDEX(Language!D6:M37,32,IF($A$1="EN",1,6))</f>
        <v>**LTV Austrian calculation: loan amount in cover pool/ total of property values minus prior-ranking mortgages</v>
      </c>
      <c r="C36" s="211"/>
      <c r="D36" s="211"/>
      <c r="E36" s="211"/>
    </row>
    <row r="37" spans="2:5" x14ac:dyDescent="0.25">
      <c r="B37" s="156"/>
      <c r="C37" s="157"/>
      <c r="D37" s="158"/>
      <c r="E37" s="156"/>
    </row>
    <row r="38" spans="2:5" x14ac:dyDescent="0.25">
      <c r="B38" s="156"/>
      <c r="C38" s="156"/>
      <c r="D38" s="156"/>
      <c r="E38" s="156"/>
    </row>
    <row r="39" spans="2:5" x14ac:dyDescent="0.25">
      <c r="B39" s="156"/>
      <c r="C39" s="156"/>
      <c r="D39" s="156"/>
      <c r="E39" s="156"/>
    </row>
  </sheetData>
  <mergeCells count="3">
    <mergeCell ref="C1:E1"/>
    <mergeCell ref="B35:E35"/>
    <mergeCell ref="B36:E36"/>
  </mergeCells>
  <dataValidations disablePrompts="1" count="1">
    <dataValidation type="list" allowBlank="1" showInputMessage="1" showErrorMessage="1" sqref="A1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2"/>
  <sheetViews>
    <sheetView tabSelected="1" zoomScale="115" zoomScaleNormal="115" zoomScalePageLayoutView="85" workbookViewId="0">
      <selection activeCell="M183" sqref="M183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6" t="str">
        <f>INDEX(Language!$D$2:$X$300,SUM(Language!AB7),IF(Overview!$A$1="EN",2,11))</f>
        <v>Primary cover pool by loan size</v>
      </c>
      <c r="C4" s="167"/>
      <c r="D4" s="168"/>
      <c r="E4" s="16"/>
      <c r="G4" s="16"/>
      <c r="H4" s="16"/>
      <c r="I4" s="16"/>
      <c r="J4" s="2"/>
    </row>
    <row r="5" spans="1:10" s="15" customFormat="1" x14ac:dyDescent="0.2">
      <c r="A5" s="57"/>
      <c r="B5" s="169"/>
      <c r="C5" s="170" t="str">
        <f>INDEX(Language!$D$2:$X$300,SUM(Language!AC8),IF(Overview!$A$1="EN",3,12))</f>
        <v>volume</v>
      </c>
      <c r="D5" s="171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198">
        <f>SUM(C7:C8)</f>
        <v>557461268.18072438</v>
      </c>
      <c r="D6" s="199">
        <f>SUM(D7:D8)</f>
        <v>7975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06">
        <v>229203525.05952701</v>
      </c>
      <c r="D7" s="199">
        <v>5909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06">
        <v>328257743.12119734</v>
      </c>
      <c r="D8" s="199">
        <v>2066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198">
        <f>SUM(C10:C12)</f>
        <v>727272569.77754307</v>
      </c>
      <c r="D9" s="199">
        <f>SUM(D10:D12)</f>
        <v>800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06">
        <v>113798979.11440426</v>
      </c>
      <c r="D10" s="199">
        <v>301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06">
        <v>196882581.76985151</v>
      </c>
      <c r="D11" s="199">
        <v>276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06">
        <v>416591008.89328736</v>
      </c>
      <c r="D12" s="199">
        <v>223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06">
        <v>359594874.16000003</v>
      </c>
      <c r="D13" s="199">
        <v>32</v>
      </c>
    </row>
    <row r="14" spans="1:10" s="15" customFormat="1" x14ac:dyDescent="0.2">
      <c r="A14" s="56"/>
      <c r="B14" s="172" t="str">
        <f>INDEX(Language!$D$2:$X$300,SUM(Language!AB17),IF(Overview!$A$1="EN",2,11))</f>
        <v>Total</v>
      </c>
      <c r="C14" s="69">
        <f>C6+C9+C13</f>
        <v>1644328712.1182675</v>
      </c>
      <c r="D14" s="173">
        <f>D6+D9+D13</f>
        <v>8807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4"/>
      <c r="D18" s="175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6" t="str">
        <f>INDEX(Language!$D$2:$X$300,SUM(Language!AB25),IF(Overview!$A$1="EN",2,11))</f>
        <v>Primary cover pool</v>
      </c>
      <c r="C22" s="174"/>
      <c r="D22" s="168" t="str">
        <f>INDEX(Language!$D$2:$X$300,SUM(Language!AD25),IF(Overview!$A$1="EN",4,13))</f>
        <v>volume</v>
      </c>
      <c r="E22" s="16"/>
      <c r="F22" s="176" t="str">
        <f>INDEX(Language!$D$2:$X$300,SUM(Language!AF25),IF(Overview!$A$1="EN",6,15))</f>
        <v>Issues</v>
      </c>
      <c r="G22" s="174"/>
      <c r="H22" s="168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149">
        <v>1604095841.01</v>
      </c>
      <c r="F23" s="7" t="str">
        <f>INDEX(Language!$D$2:$X$300,SUM(Language!AF26),IF(Overview!$A$1="EN",6,15))</f>
        <v>in EUR</v>
      </c>
      <c r="G23" s="8"/>
      <c r="H23" s="149">
        <v>1109465000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149">
        <v>39411672.525626414</v>
      </c>
      <c r="F24" s="7" t="str">
        <f>INDEX(Language!$D$2:$X$300,SUM(Language!AF27),IF(Overview!$A$1="EN",6,15))</f>
        <v>in CHF</v>
      </c>
      <c r="G24" s="8"/>
      <c r="H24" s="160">
        <v>0</v>
      </c>
    </row>
    <row r="25" spans="1:10" x14ac:dyDescent="0.2">
      <c r="B25" s="7" t="str">
        <f>INDEX(Language!$D$2:$X$300,SUM(Language!AB28),IF(Overview!$A$1="EN",2,11))</f>
        <v>in USD</v>
      </c>
      <c r="C25" s="8"/>
      <c r="D25" s="149">
        <v>202000</v>
      </c>
      <c r="F25" s="7" t="str">
        <f>INDEX(Language!$D$2:$X$300,SUM(Language!AF28),IF(Overview!$A$1="EN",6,15))</f>
        <v>in USD</v>
      </c>
      <c r="G25" s="8"/>
      <c r="H25" s="160">
        <v>0</v>
      </c>
    </row>
    <row r="26" spans="1:10" x14ac:dyDescent="0.2">
      <c r="B26" s="7" t="str">
        <f>INDEX(Language!$D$2:$X$300,SUM(Language!AB29),IF(Overview!$A$1="EN",2,11))</f>
        <v>in JPY</v>
      </c>
      <c r="C26" s="8"/>
      <c r="D26" s="149">
        <v>619198.58264116</v>
      </c>
      <c r="F26" s="7" t="str">
        <f>INDEX(Language!$D$2:$X$300,SUM(Language!AF29),IF(Overview!$A$1="EN",6,15))</f>
        <v>in JPY</v>
      </c>
      <c r="G26" s="8"/>
      <c r="H26" s="160">
        <v>0</v>
      </c>
    </row>
    <row r="27" spans="1:10" x14ac:dyDescent="0.2">
      <c r="B27" s="7" t="str">
        <f>INDEX(Language!$D$2:$X$300,SUM(Language!AB30),IF(Overview!$A$1="EN",2,11))</f>
        <v>Other</v>
      </c>
      <c r="C27" s="8"/>
      <c r="D27" s="149"/>
      <c r="F27" s="7" t="str">
        <f>INDEX(Language!$D$2:$X$300,SUM(Language!AF30),IF(Overview!$A$1="EN",6,15))</f>
        <v>Other</v>
      </c>
      <c r="G27" s="8"/>
      <c r="H27" s="160">
        <v>0</v>
      </c>
    </row>
    <row r="28" spans="1:10" s="15" customFormat="1" x14ac:dyDescent="0.2">
      <c r="B28" s="177" t="str">
        <f>INDEX(Language!$D$2:$X$300,SUM(Language!AB31),IF(Overview!$A$1="EN",2,11))</f>
        <v>Total</v>
      </c>
      <c r="C28" s="141"/>
      <c r="D28" s="197">
        <f>SUM(D23:D27)</f>
        <v>1644328712.1182675</v>
      </c>
      <c r="E28" s="16"/>
      <c r="F28" s="177" t="str">
        <f>INDEX(Language!$D$2:$X$300,SUM(Language!AF31),IF(Overview!$A$1="EN",6,15))</f>
        <v>Total</v>
      </c>
      <c r="G28" s="141"/>
      <c r="H28" s="197">
        <f>SUM(H23:H27)</f>
        <v>1109465000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4" t="str">
        <f>INDEX(Language!$D$2:$X$300,SUM(Language!AC35),IF(Overview!$A$1="EN",3,12))</f>
        <v>volume</v>
      </c>
      <c r="D32" s="175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94">
        <v>470598510.37829721</v>
      </c>
      <c r="D33" s="95">
        <f>IF(($C$44=0),0,(C33/$C$44))</f>
        <v>0.28619491158293886</v>
      </c>
    </row>
    <row r="34" spans="2:10" x14ac:dyDescent="0.2">
      <c r="B34" s="7" t="str">
        <f>INDEX(Language!$D$2:$X$300,SUM(Language!AB37),IF(Overview!$A$1="EN",2,11))</f>
        <v>40 - 50%</v>
      </c>
      <c r="C34" s="94">
        <v>245650081.25999999</v>
      </c>
      <c r="D34" s="95">
        <f t="shared" ref="D34:D43" si="0">IF(($C$44=0),0,(C34/$C$44))</f>
        <v>0.14939232006925129</v>
      </c>
    </row>
    <row r="35" spans="2:10" x14ac:dyDescent="0.2">
      <c r="B35" s="7" t="str">
        <f>INDEX(Language!$D$2:$X$300,SUM(Language!AB38),IF(Overview!$A$1="EN",2,11))</f>
        <v>50 - 60%</v>
      </c>
      <c r="C35" s="94">
        <v>419806975.22080225</v>
      </c>
      <c r="D35" s="95">
        <f t="shared" si="0"/>
        <v>0.25530599333737153</v>
      </c>
    </row>
    <row r="36" spans="2:10" x14ac:dyDescent="0.2">
      <c r="B36" s="7" t="str">
        <f>INDEX(Language!$D$2:$X$300,SUM(Language!AB39),IF(Overview!$A$1="EN",2,11))</f>
        <v>60 - 70%</v>
      </c>
      <c r="C36" s="94">
        <v>223258526.25704476</v>
      </c>
      <c r="D36" s="95">
        <f t="shared" si="0"/>
        <v>0.13577487555349232</v>
      </c>
    </row>
    <row r="37" spans="2:10" x14ac:dyDescent="0.2">
      <c r="B37" s="7" t="str">
        <f>INDEX(Language!$D$2:$X$300,SUM(Language!AB40),IF(Overview!$A$1="EN",2,11))</f>
        <v>70 - 80%</v>
      </c>
      <c r="C37" s="94">
        <v>132875172.7089112</v>
      </c>
      <c r="D37" s="95">
        <f t="shared" si="0"/>
        <v>8.0808156988055643E-2</v>
      </c>
    </row>
    <row r="38" spans="2:10" x14ac:dyDescent="0.2">
      <c r="B38" s="7" t="str">
        <f>INDEX(Language!$D$2:$X$300,SUM(Language!AB41),IF(Overview!$A$1="EN",2,11))</f>
        <v>80 - 85%</v>
      </c>
      <c r="C38" s="94">
        <v>33283005.688646112</v>
      </c>
      <c r="D38" s="95">
        <f t="shared" si="0"/>
        <v>2.0241090144164243E-2</v>
      </c>
    </row>
    <row r="39" spans="2:10" x14ac:dyDescent="0.2">
      <c r="B39" s="7" t="str">
        <f>INDEX(Language!$D$2:$X$300,SUM(Language!AB42),IF(Overview!$A$1="EN",2,11))</f>
        <v>85 - 90%</v>
      </c>
      <c r="C39" s="94">
        <v>29765544.61199715</v>
      </c>
      <c r="D39" s="95">
        <f t="shared" si="0"/>
        <v>1.8101942995103475E-2</v>
      </c>
    </row>
    <row r="40" spans="2:10" x14ac:dyDescent="0.2">
      <c r="B40" s="7" t="str">
        <f>INDEX(Language!$D$2:$X$300,SUM(Language!AB43),IF(Overview!$A$1="EN",2,11))</f>
        <v>90 - 95%</v>
      </c>
      <c r="C40" s="94">
        <v>24852762.749589939</v>
      </c>
      <c r="D40" s="95">
        <f t="shared" si="0"/>
        <v>1.5114230242660519E-2</v>
      </c>
    </row>
    <row r="41" spans="2:10" x14ac:dyDescent="0.2">
      <c r="B41" s="7" t="str">
        <f>INDEX(Language!$D$2:$X$300,SUM(Language!AB44),IF(Overview!$A$1="EN",2,11))</f>
        <v>95 - 100%</v>
      </c>
      <c r="C41" s="94">
        <v>12752931.244916899</v>
      </c>
      <c r="D41" s="95">
        <f t="shared" si="0"/>
        <v>7.7557067214860682E-3</v>
      </c>
    </row>
    <row r="42" spans="2:10" x14ac:dyDescent="0.2">
      <c r="B42" s="7" t="str">
        <f>INDEX(Language!$D$2:$X$300,SUM(Language!AB45),IF(Overview!$A$1="EN",2,11))</f>
        <v>100 - 105%</v>
      </c>
      <c r="C42" s="94">
        <v>12332226.37017318</v>
      </c>
      <c r="D42" s="95">
        <f t="shared" si="0"/>
        <v>7.499854669738174E-3</v>
      </c>
    </row>
    <row r="43" spans="2:10" x14ac:dyDescent="0.2">
      <c r="B43" s="7" t="str">
        <f>INDEX(Language!$D$2:$X$300,SUM(Language!AB46),IF(Overview!$A$1="EN",2,11))</f>
        <v>≥ 105%</v>
      </c>
      <c r="C43" s="94">
        <v>39152975.629013613</v>
      </c>
      <c r="D43" s="95">
        <f t="shared" si="0"/>
        <v>2.381091769573794E-2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1644328712.1193922</v>
      </c>
      <c r="D44" s="165">
        <f>SUM(D33:D43)</f>
        <v>1</v>
      </c>
      <c r="E44" s="16"/>
      <c r="G44" s="16"/>
      <c r="H44" s="16"/>
      <c r="I44" s="16"/>
      <c r="J44" s="2"/>
    </row>
    <row r="46" spans="2:10" s="15" customFormat="1" x14ac:dyDescent="0.2">
      <c r="B46" s="176" t="str">
        <f>INDEX(Language!$D$2:$X$300,SUM(Language!AB49),IF(Overview!$A$1="EN",2,11))</f>
        <v>thereof LTV residential*</v>
      </c>
      <c r="C46" s="174" t="str">
        <f>INDEX(Language!$D$2:$X$300,SUM(Language!AC49),IF(Overview!$A$1="EN",3,12))</f>
        <v>volume</v>
      </c>
      <c r="D46" s="175" t="str">
        <f>INDEX(Language!$D$2:$X$300,SUM(Language!AD49),IF(Overview!$A$1="EN",4,13))</f>
        <v>%</v>
      </c>
      <c r="E46" s="16"/>
      <c r="F46" s="176" t="str">
        <f>INDEX(Language!$D$2:$X$300,SUM(Language!AF49),IF(Overview!$A$1="EN",6,15))</f>
        <v>thereof LTV commercial</v>
      </c>
      <c r="G46" s="174" t="str">
        <f>INDEX(Language!$D$2:$X$300,SUM(Language!AG49),IF(Overview!$A$1="EN",7,16))</f>
        <v>volume</v>
      </c>
      <c r="H46" s="175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94">
        <v>409215992.98848706</v>
      </c>
      <c r="D47" s="95">
        <f>IF(($C$58=0),0,(C47/$C$58))</f>
        <v>0.31176149517065199</v>
      </c>
      <c r="F47" s="7" t="str">
        <f>INDEX(Language!$D$2:$X$300,SUM(Language!AF50),IF(Overview!$A$1="EN",6,15))</f>
        <v>≤ 40%</v>
      </c>
      <c r="G47" s="94">
        <v>61382517.389810197</v>
      </c>
      <c r="H47" s="95">
        <f>IF(($G$58=0),0,(G47/$G$58))</f>
        <v>0.18503446256713718</v>
      </c>
    </row>
    <row r="48" spans="2:10" x14ac:dyDescent="0.2">
      <c r="B48" s="7" t="str">
        <f>INDEX(Language!$D$2:$X$300,SUM(Language!AB51),IF(Overview!$A$1="EN",2,11))</f>
        <v>40 - 50 %</v>
      </c>
      <c r="C48" s="94">
        <v>214419203.88555464</v>
      </c>
      <c r="D48" s="95">
        <f t="shared" ref="D48:D57" si="1">IF(($C$58=0),0,(C48/$C$58))</f>
        <v>0.16335542291120106</v>
      </c>
      <c r="F48" s="7" t="str">
        <f>INDEX(Language!$D$2:$X$300,SUM(Language!AF51),IF(Overview!$A$1="EN",6,15))</f>
        <v>40 - 50 %</v>
      </c>
      <c r="G48" s="94">
        <v>31230877.373320501</v>
      </c>
      <c r="H48" s="95">
        <f t="shared" ref="H48:H56" si="2">IF(($G$58=0),0,(G48/$G$58))</f>
        <v>9.4143884219903815E-2</v>
      </c>
    </row>
    <row r="49" spans="1:10" x14ac:dyDescent="0.2">
      <c r="B49" s="7" t="str">
        <f>INDEX(Language!$D$2:$X$300,SUM(Language!AB52),IF(Overview!$A$1="EN",2,11))</f>
        <v>50 - 60 %</v>
      </c>
      <c r="C49" s="94">
        <v>258237908.54098684</v>
      </c>
      <c r="D49" s="95">
        <f t="shared" si="1"/>
        <v>0.19673873420373672</v>
      </c>
      <c r="F49" s="7" t="str">
        <f>INDEX(Language!$D$2:$X$300,SUM(Language!AF52),IF(Overview!$A$1="EN",6,15))</f>
        <v>50 - 60 %</v>
      </c>
      <c r="G49" s="94">
        <v>161569066.67981541</v>
      </c>
      <c r="H49" s="95">
        <f>IF(($G$58=0),0,(G49/$G$58))</f>
        <v>0.48704169675413889</v>
      </c>
    </row>
    <row r="50" spans="1:10" x14ac:dyDescent="0.2">
      <c r="B50" s="7" t="str">
        <f>INDEX(Language!$D$2:$X$300,SUM(Language!AB53),IF(Overview!$A$1="EN",2,11))</f>
        <v>60 - 70 %</v>
      </c>
      <c r="C50" s="94">
        <v>183608167.29724628</v>
      </c>
      <c r="D50" s="95">
        <f t="shared" si="1"/>
        <v>0.13988201278277793</v>
      </c>
      <c r="F50" s="7" t="str">
        <f>INDEX(Language!$D$2:$X$300,SUM(Language!AF53),IF(Overview!$A$1="EN",6,15))</f>
        <v>60 - 70 %</v>
      </c>
      <c r="G50" s="94">
        <v>39650358.9597985</v>
      </c>
      <c r="H50" s="95">
        <f t="shared" si="2"/>
        <v>0.11952398130120211</v>
      </c>
    </row>
    <row r="51" spans="1:10" x14ac:dyDescent="0.2">
      <c r="B51" s="7" t="str">
        <f>INDEX(Language!$D$2:$X$300,SUM(Language!AB54),IF(Overview!$A$1="EN",2,11))</f>
        <v>70 - 80 %</v>
      </c>
      <c r="C51" s="94">
        <v>120411307.2011134</v>
      </c>
      <c r="D51" s="95">
        <f t="shared" si="1"/>
        <v>9.1735439991779494E-2</v>
      </c>
      <c r="F51" s="7" t="str">
        <f>INDEX(Language!$D$2:$X$300,SUM(Language!AF54),IF(Overview!$A$1="EN",6,15))</f>
        <v>70 - 80 %</v>
      </c>
      <c r="G51" s="94">
        <v>12463865.5077978</v>
      </c>
      <c r="H51" s="95">
        <f t="shared" si="2"/>
        <v>3.7571685779822582E-2</v>
      </c>
    </row>
    <row r="52" spans="1:10" x14ac:dyDescent="0.2">
      <c r="B52" s="7" t="str">
        <f>INDEX(Language!$D$2:$X$300,SUM(Language!AB55),IF(Overview!$A$1="EN",2,11))</f>
        <v>80 - 85 %</v>
      </c>
      <c r="C52" s="94">
        <v>30764805.67864611</v>
      </c>
      <c r="D52" s="95">
        <f t="shared" si="1"/>
        <v>2.3438189077031307E-2</v>
      </c>
      <c r="F52" s="7" t="str">
        <f>INDEX(Language!$D$2:$X$300,SUM(Language!AF55),IF(Overview!$A$1="EN",6,15))</f>
        <v>80 - 85 %</v>
      </c>
      <c r="G52" s="94">
        <v>2518200.0099999998</v>
      </c>
      <c r="H52" s="95">
        <f t="shared" si="2"/>
        <v>7.5909852723677973E-3</v>
      </c>
    </row>
    <row r="53" spans="1:10" x14ac:dyDescent="0.2">
      <c r="B53" s="7" t="str">
        <f>INDEX(Language!$D$2:$X$300,SUM(Language!AB56),IF(Overview!$A$1="EN",2,11))</f>
        <v>85 - 90 %</v>
      </c>
      <c r="C53" s="94">
        <v>27907169.243673131</v>
      </c>
      <c r="D53" s="95">
        <f t="shared" si="1"/>
        <v>2.1261096727548345E-2</v>
      </c>
      <c r="F53" s="7" t="str">
        <f>INDEX(Language!$D$2:$X$300,SUM(Language!AF56),IF(Overview!$A$1="EN",6,15))</f>
        <v>85 - 90 %</v>
      </c>
      <c r="G53" s="94">
        <v>1858375.3683240199</v>
      </c>
      <c r="H53" s="95">
        <f t="shared" si="2"/>
        <v>5.6019776012465015E-3</v>
      </c>
    </row>
    <row r="54" spans="1:10" x14ac:dyDescent="0.2">
      <c r="B54" s="7" t="str">
        <f>INDEX(Language!$D$2:$X$300,SUM(Language!AB57),IF(Overview!$A$1="EN",2,11))</f>
        <v>90 - 95%</v>
      </c>
      <c r="C54" s="94">
        <v>20177408.27958994</v>
      </c>
      <c r="D54" s="95">
        <f t="shared" si="1"/>
        <v>1.5372172841960826E-2</v>
      </c>
      <c r="F54" s="7" t="str">
        <f>INDEX(Language!$D$2:$X$300,SUM(Language!AF57),IF(Overview!$A$1="EN",6,15))</f>
        <v>90 - 95%</v>
      </c>
      <c r="G54" s="94">
        <v>4675354.47</v>
      </c>
      <c r="H54" s="95">
        <f t="shared" si="2"/>
        <v>1.4093617180499077E-2</v>
      </c>
    </row>
    <row r="55" spans="1:10" x14ac:dyDescent="0.2">
      <c r="B55" s="7" t="str">
        <f>INDEX(Language!$D$2:$X$300,SUM(Language!AB58),IF(Overview!$A$1="EN",2,11))</f>
        <v>95 - 100%</v>
      </c>
      <c r="C55" s="94">
        <v>11387931.244916899</v>
      </c>
      <c r="D55" s="95">
        <f t="shared" si="1"/>
        <v>8.6759035146404019E-3</v>
      </c>
      <c r="F55" s="7" t="str">
        <f>INDEX(Language!$D$2:$X$300,SUM(Language!AF58),IF(Overview!$A$1="EN",6,15))</f>
        <v>95 - 100%</v>
      </c>
      <c r="G55" s="94">
        <v>1365000</v>
      </c>
      <c r="H55" s="95">
        <f t="shared" si="2"/>
        <v>4.1147227605570708E-3</v>
      </c>
    </row>
    <row r="56" spans="1:10" x14ac:dyDescent="0.2">
      <c r="B56" s="7" t="str">
        <f>INDEX(Language!$D$2:$X$300,SUM(Language!AB59),IF(Overview!$A$1="EN",2,11))</f>
        <v>100 - 105%</v>
      </c>
      <c r="C56" s="94">
        <v>10140926.378841421</v>
      </c>
      <c r="D56" s="95">
        <f t="shared" si="1"/>
        <v>7.7258719709228339E-3</v>
      </c>
      <c r="F56" s="7" t="str">
        <f>INDEX(Language!$D$2:$X$300,SUM(Language!AF59),IF(Overview!$A$1="EN",6,15))</f>
        <v>100 - 105%</v>
      </c>
      <c r="G56" s="94">
        <v>2191299.9913317598</v>
      </c>
      <c r="H56" s="95">
        <f t="shared" si="2"/>
        <v>6.6055618677958276E-3</v>
      </c>
    </row>
    <row r="57" spans="1:10" x14ac:dyDescent="0.2">
      <c r="B57" s="7" t="str">
        <f>INDEX(Language!$D$2:$X$300,SUM(Language!AB60),IF(Overview!$A$1="EN",2,11))</f>
        <v>≥ 105%</v>
      </c>
      <c r="C57" s="94">
        <v>26322297.165034462</v>
      </c>
      <c r="D57" s="95">
        <f t="shared" si="1"/>
        <v>2.0053660807749112E-2</v>
      </c>
      <c r="F57" s="7" t="str">
        <f>INDEX(Language!$D$2:$X$300,SUM(Language!AF60),IF(Overview!$A$1="EN",6,15))</f>
        <v>≥ 105%</v>
      </c>
      <c r="G57" s="94">
        <v>12830678.463979149</v>
      </c>
      <c r="H57" s="95">
        <f>IF(($G$58=0),0,(G57/$G$58))</f>
        <v>3.8677424695329261E-2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1312593117.9040902</v>
      </c>
      <c r="D58" s="165">
        <f>SUM(D47:D57)</f>
        <v>1</v>
      </c>
      <c r="E58" s="16"/>
      <c r="F58" s="11" t="str">
        <f>INDEX(Language!$D$2:$X$300,SUM(Language!AF61),IF(Overview!$A$1="EN",6,15))</f>
        <v>Total</v>
      </c>
      <c r="G58" s="69">
        <f>SUM(G47:G57)</f>
        <v>331735594.21417731</v>
      </c>
      <c r="H58" s="165">
        <f>SUM(H47:H57)</f>
        <v>1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8" t="str">
        <f>INDEX(Language!$D$2:$X$300,SUM(Language!AB66),IF(Overview!$A$1="EN",2,11))</f>
        <v xml:space="preserve">Regional distribution </v>
      </c>
      <c r="C63" s="174" t="str">
        <f>INDEX(Language!$D$2:$X$300,SUM(Language!AC66),IF(Overview!$A$1="EN",3,12))</f>
        <v>volume</v>
      </c>
      <c r="D63" s="175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1644328712.1182675</v>
      </c>
      <c r="D64" s="165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94">
        <v>1475125212.1982675</v>
      </c>
      <c r="D65" s="163">
        <f t="shared" ref="D65:D92" si="3">IF(($C$99=0),0,(C65/$C$99))</f>
        <v>0.89709873781743577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162">
        <v>0</v>
      </c>
      <c r="D66" s="163">
        <f t="shared" si="3"/>
        <v>0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2">
        <v>0</v>
      </c>
      <c r="D67" s="163">
        <f t="shared" si="3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2">
        <v>0</v>
      </c>
      <c r="D68" s="163">
        <f t="shared" si="3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2">
        <v>0</v>
      </c>
      <c r="D69" s="163">
        <f t="shared" si="3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2">
        <v>0</v>
      </c>
      <c r="D70" s="163">
        <f t="shared" si="3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2">
        <v>0</v>
      </c>
      <c r="D71" s="163">
        <f t="shared" si="3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2">
        <v>0</v>
      </c>
      <c r="D72" s="163">
        <f t="shared" si="3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2">
        <v>0</v>
      </c>
      <c r="D73" s="163">
        <f t="shared" si="3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2">
        <v>0</v>
      </c>
      <c r="D74" s="163">
        <f t="shared" si="3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94">
        <v>153122414.94999999</v>
      </c>
      <c r="D75" s="163">
        <f t="shared" si="3"/>
        <v>9.3121535749834145E-2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2">
        <v>0</v>
      </c>
      <c r="D76" s="163">
        <f t="shared" si="3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2">
        <v>0</v>
      </c>
      <c r="D77" s="163">
        <f t="shared" si="3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2">
        <v>0</v>
      </c>
      <c r="D78" s="163">
        <f t="shared" si="3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2">
        <v>0</v>
      </c>
      <c r="D79" s="163">
        <f t="shared" si="3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2">
        <v>0</v>
      </c>
      <c r="D80" s="163">
        <f t="shared" si="3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2">
        <v>0</v>
      </c>
      <c r="D81" s="163">
        <f t="shared" si="3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2">
        <v>0</v>
      </c>
      <c r="D82" s="163">
        <f t="shared" si="3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2">
        <v>0</v>
      </c>
      <c r="D83" s="163">
        <f t="shared" si="3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2">
        <v>0</v>
      </c>
      <c r="D84" s="163">
        <f t="shared" si="3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2">
        <v>0</v>
      </c>
      <c r="D85" s="163">
        <f t="shared" si="3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2">
        <v>0</v>
      </c>
      <c r="D86" s="163">
        <f t="shared" si="3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2">
        <v>0</v>
      </c>
      <c r="D87" s="163">
        <f t="shared" si="3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2">
        <v>0</v>
      </c>
      <c r="D88" s="163">
        <f t="shared" si="3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2">
        <v>0</v>
      </c>
      <c r="D89" s="163">
        <f t="shared" si="3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2">
        <v>0</v>
      </c>
      <c r="D90" s="163">
        <f t="shared" si="3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94">
        <v>16081084.970000001</v>
      </c>
      <c r="D91" s="163">
        <f t="shared" si="3"/>
        <v>9.7797264327300609E-3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2">
        <v>0</v>
      </c>
      <c r="D92" s="163">
        <f t="shared" si="3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1">
        <f>SUM(C94:C96)</f>
        <v>0</v>
      </c>
      <c r="D93" s="165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2">
        <v>0</v>
      </c>
      <c r="D94" s="163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2">
        <v>0</v>
      </c>
      <c r="D95" s="163">
        <f t="shared" ref="D95:D98" si="4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2">
        <v>0</v>
      </c>
      <c r="D96" s="163">
        <f t="shared" si="4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1">
        <v>0</v>
      </c>
      <c r="D97" s="165">
        <f t="shared" si="4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1">
        <v>0</v>
      </c>
      <c r="D98" s="165">
        <f t="shared" si="4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1644328712.1182675</v>
      </c>
      <c r="D99" s="165">
        <f>D64+D93+D97+D98</f>
        <v>1</v>
      </c>
      <c r="I99" s="2"/>
    </row>
    <row r="100" spans="2:9" x14ac:dyDescent="0.2">
      <c r="I100" s="2"/>
    </row>
    <row r="101" spans="2:9" x14ac:dyDescent="0.2">
      <c r="B101" s="176" t="str">
        <f>INDEX(Language!$D$2:$X$300,SUM(Language!AB104),IF(Overview!$A$1="EN",2,11))</f>
        <v>Regional distribution in Austria</v>
      </c>
      <c r="C101" s="167"/>
      <c r="D101" s="167"/>
      <c r="E101" s="166"/>
      <c r="F101" s="166"/>
      <c r="G101" s="166"/>
      <c r="H101" s="179"/>
      <c r="I101" s="2"/>
    </row>
    <row r="102" spans="2:9" ht="15" customHeight="1" x14ac:dyDescent="0.2">
      <c r="B102" s="180"/>
      <c r="C102" s="170" t="str">
        <f>INDEX(Language!$D$2:$X$300,SUM(Language!AC105),IF(Overview!$A$1="EN",3,12))</f>
        <v>volume</v>
      </c>
      <c r="D102" s="169"/>
      <c r="E102" s="169"/>
      <c r="F102" s="170" t="str">
        <f>INDEX(Language!$D$2:$X$300,SUM(Language!AF105),IF(Overview!$A$1="EN",6,15))</f>
        <v>Share in AT</v>
      </c>
      <c r="G102" s="228" t="str">
        <f>INDEX(Language!$D$2:$X$300,SUM(Language!AG105),IF(Overview!$A$1="EN",7,16))</f>
        <v>Share in total</v>
      </c>
      <c r="H102" s="229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66"/>
      <c r="D103" s="30"/>
      <c r="E103" s="30"/>
      <c r="F103" s="195">
        <v>0</v>
      </c>
      <c r="G103" s="230">
        <v>0</v>
      </c>
      <c r="H103" s="231"/>
      <c r="I103" s="2"/>
    </row>
    <row r="104" spans="2:9" ht="15" customHeight="1" x14ac:dyDescent="0.2">
      <c r="B104" s="7" t="s">
        <v>249</v>
      </c>
      <c r="C104" s="94">
        <v>352996470.24079722</v>
      </c>
      <c r="D104" s="200"/>
      <c r="E104" s="200"/>
      <c r="F104" s="201">
        <f t="shared" ref="F104:F112" si="5">IF(($C$113=0),0,(C104/$C$113))</f>
        <v>0.23929932681087682</v>
      </c>
      <c r="G104" s="222">
        <f t="shared" ref="G104:G112" si="6">IF(($C$99=0),0,(C104/$C$99))</f>
        <v>0.21467512404259967</v>
      </c>
      <c r="H104" s="223"/>
      <c r="I104" s="2"/>
    </row>
    <row r="105" spans="2:9" ht="15" customHeight="1" x14ac:dyDescent="0.2">
      <c r="B105" s="7" t="s">
        <v>250</v>
      </c>
      <c r="C105" s="94">
        <v>1016466764.3782861</v>
      </c>
      <c r="D105" s="200"/>
      <c r="E105" s="200"/>
      <c r="F105" s="201">
        <f t="shared" si="5"/>
        <v>0.68907151472485695</v>
      </c>
      <c r="G105" s="222">
        <f t="shared" si="6"/>
        <v>0.61816518612561777</v>
      </c>
      <c r="H105" s="223"/>
      <c r="I105" s="2"/>
    </row>
    <row r="106" spans="2:9" ht="15" customHeight="1" x14ac:dyDescent="0.2">
      <c r="B106" s="7" t="s">
        <v>251</v>
      </c>
      <c r="C106" s="94">
        <v>31339576.264072228</v>
      </c>
      <c r="D106" s="200"/>
      <c r="E106" s="200"/>
      <c r="F106" s="201">
        <f t="shared" si="5"/>
        <v>2.1245366837279685E-2</v>
      </c>
      <c r="G106" s="222">
        <f t="shared" si="6"/>
        <v>1.9059191774192012E-2</v>
      </c>
      <c r="H106" s="223"/>
      <c r="I106" s="2"/>
    </row>
    <row r="107" spans="2:9" ht="15" customHeight="1" x14ac:dyDescent="0.2">
      <c r="B107" s="7" t="s">
        <v>84</v>
      </c>
      <c r="C107" s="94">
        <v>2106099.11</v>
      </c>
      <c r="D107" s="200"/>
      <c r="E107" s="200"/>
      <c r="F107" s="201">
        <f t="shared" si="5"/>
        <v>1.4277426028543297E-3</v>
      </c>
      <c r="G107" s="222">
        <f t="shared" si="6"/>
        <v>1.2808260869487996E-3</v>
      </c>
      <c r="H107" s="223"/>
      <c r="I107" s="2"/>
    </row>
    <row r="108" spans="2:9" ht="15" customHeight="1" x14ac:dyDescent="0.2">
      <c r="B108" s="7" t="s">
        <v>252</v>
      </c>
      <c r="C108" s="94">
        <v>2301696.8199999998</v>
      </c>
      <c r="D108" s="200"/>
      <c r="E108" s="200"/>
      <c r="F108" s="201">
        <f t="shared" si="5"/>
        <v>1.560339963663122E-3</v>
      </c>
      <c r="G108" s="222">
        <f t="shared" si="6"/>
        <v>1.3997790119682904E-3</v>
      </c>
      <c r="H108" s="223"/>
      <c r="I108" s="2"/>
    </row>
    <row r="109" spans="2:9" ht="15" customHeight="1" x14ac:dyDescent="0.2">
      <c r="B109" s="7" t="s">
        <v>253</v>
      </c>
      <c r="C109" s="94">
        <v>50698920.890537269</v>
      </c>
      <c r="D109" s="200"/>
      <c r="E109" s="200"/>
      <c r="F109" s="201">
        <f t="shared" si="5"/>
        <v>3.4369232165033979E-2</v>
      </c>
      <c r="G109" s="222">
        <f t="shared" si="6"/>
        <v>3.0832594795006399E-2</v>
      </c>
      <c r="H109" s="223"/>
      <c r="I109" s="2"/>
    </row>
    <row r="110" spans="2:9" ht="15" customHeight="1" x14ac:dyDescent="0.2">
      <c r="B110" s="7" t="s">
        <v>254</v>
      </c>
      <c r="C110" s="94">
        <v>2005729.45373698</v>
      </c>
      <c r="D110" s="200"/>
      <c r="E110" s="200"/>
      <c r="F110" s="201">
        <f t="shared" si="5"/>
        <v>1.3597011542823495E-3</v>
      </c>
      <c r="G110" s="222">
        <f t="shared" si="6"/>
        <v>1.2197861893156062E-3</v>
      </c>
      <c r="H110" s="223"/>
      <c r="I110" s="2"/>
    </row>
    <row r="111" spans="2:9" ht="15" customHeight="1" x14ac:dyDescent="0.2">
      <c r="B111" s="7" t="s">
        <v>88</v>
      </c>
      <c r="C111" s="94">
        <v>16969955.040837731</v>
      </c>
      <c r="D111" s="200"/>
      <c r="E111" s="200"/>
      <c r="F111" s="201">
        <f t="shared" si="5"/>
        <v>1.1504077688122958E-2</v>
      </c>
      <c r="G111" s="222">
        <f t="shared" si="6"/>
        <v>1.0320293573768829E-2</v>
      </c>
      <c r="H111" s="223"/>
      <c r="I111" s="2"/>
    </row>
    <row r="112" spans="2:9" ht="15" customHeight="1" x14ac:dyDescent="0.2">
      <c r="B112" s="7" t="s">
        <v>89</v>
      </c>
      <c r="C112" s="94">
        <v>240000</v>
      </c>
      <c r="D112" s="200"/>
      <c r="E112" s="200"/>
      <c r="F112" s="201">
        <f t="shared" si="5"/>
        <v>1.6269805302991612E-4</v>
      </c>
      <c r="G112" s="222">
        <f t="shared" si="6"/>
        <v>1.45956218018492E-4</v>
      </c>
      <c r="H112" s="223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1475125212.1982675</v>
      </c>
      <c r="D113" s="181"/>
      <c r="E113" s="181"/>
      <c r="F113" s="164">
        <f>SUM(F103:F112)</f>
        <v>1</v>
      </c>
      <c r="G113" s="220">
        <f>SUM(G103:H112)</f>
        <v>0.89709873781743599</v>
      </c>
      <c r="H113" s="221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18" t="str">
        <f>INDEX(Language!$D$2:$X$300,SUM(Language!AB120),IF(Overview!$A$1="EN",2,11))</f>
        <v>Primary cover pool by use of property</v>
      </c>
      <c r="C117" s="219">
        <f>INDEX(Language!$D$2:$X$300,SUM(Language!AC120),IF(Overview!$A$1="EN",3,12))</f>
        <v>0</v>
      </c>
      <c r="D117" s="174"/>
      <c r="E117" s="174"/>
      <c r="F117" s="174" t="str">
        <f>INDEX(Language!$D$2:$X$300,SUM(Language!AF120),IF(Overview!$A$1="EN",6,15))</f>
        <v>volume</v>
      </c>
      <c r="G117" s="226" t="str">
        <f>INDEX(Language!$D$2:$X$300,SUM(Language!AG120),IF(Overview!$A$1="EN",7,16))</f>
        <v>%</v>
      </c>
      <c r="H117" s="227">
        <f>INDEX(Language!$D$2:$X$300,SUM(Language!AH120),IF(Overview!$A$1="EN",8,17))</f>
        <v>0</v>
      </c>
    </row>
    <row r="118" spans="1:9" ht="15" customHeight="1" x14ac:dyDescent="0.2">
      <c r="B118" s="218" t="str">
        <f>INDEX(Language!$D$2:$X$300,SUM(Language!AB121),IF(Overview!$A$1="EN",2,11))</f>
        <v>Residential</v>
      </c>
      <c r="C118" s="219">
        <f>INDEX(Language!$D$2:$X$300,SUM(Language!AC121),IF(Overview!$A$1="EN",3,12))</f>
        <v>0</v>
      </c>
      <c r="D118" s="8"/>
      <c r="E118" s="8"/>
      <c r="F118" s="202">
        <f>SUM(F119:F121)</f>
        <v>1312593117.9040899</v>
      </c>
      <c r="G118" s="224">
        <f>SUM(G119:H121)</f>
        <v>0.7982546970265898</v>
      </c>
      <c r="H118" s="225"/>
    </row>
    <row r="119" spans="1:9" ht="15" customHeight="1" x14ac:dyDescent="0.2">
      <c r="B119" s="212" t="str">
        <f>INDEX(Language!$D$2:$X$300,SUM(Language!AB122),IF(Overview!$A$1="EN",2,11))</f>
        <v xml:space="preserve">   thereof private use, incl. Multi-family housing</v>
      </c>
      <c r="C119" s="213">
        <f>INDEX(Language!$D$2:$X$300,SUM(Language!AC122),IF(Overview!$A$1="EN",3,12))</f>
        <v>0</v>
      </c>
      <c r="D119" s="8"/>
      <c r="E119" s="8"/>
      <c r="F119" s="94">
        <v>697756618.64154553</v>
      </c>
      <c r="G119" s="222">
        <f>IF(($F$130=0),0,(F119/$F$130))</f>
        <v>0.42434132147621334</v>
      </c>
      <c r="H119" s="223"/>
    </row>
    <row r="120" spans="1:9" ht="12.75" customHeight="1" x14ac:dyDescent="0.2">
      <c r="B120" s="212" t="str">
        <f>INDEX(Language!$D$2:$X$300,SUM(Language!AB123),IF(Overview!$A$1="EN",2,11))</f>
        <v xml:space="preserve">   thereof non-profit housing association</v>
      </c>
      <c r="C120" s="213">
        <f>INDEX(Language!$D$2:$X$300,SUM(Language!AC123),IF(Overview!$A$1="EN",3,12))</f>
        <v>0</v>
      </c>
      <c r="D120" s="8"/>
      <c r="E120" s="8"/>
      <c r="F120" s="94">
        <v>572509551.44732416</v>
      </c>
      <c r="G120" s="222">
        <f t="shared" ref="G120:G129" si="7">IF(($F$130=0),0,(F120/$F$130))</f>
        <v>0.34817220378631131</v>
      </c>
      <c r="H120" s="223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94">
        <v>42326947.815220468</v>
      </c>
      <c r="G121" s="222">
        <f t="shared" si="7"/>
        <v>2.5741171764065218E-2</v>
      </c>
      <c r="H121" s="223"/>
    </row>
    <row r="122" spans="1:9" x14ac:dyDescent="0.2">
      <c r="B122" s="218" t="str">
        <f>INDEX(Language!$D$2:$X$300,SUM(Language!AB125),IF(Overview!$A$1="EN",2,11))</f>
        <v>Commercial real estate</v>
      </c>
      <c r="C122" s="219">
        <f>INDEX(Language!$D$2:$X$300,SUM(Language!AC125),IF(Overview!$A$1="EN",3,12))</f>
        <v>0</v>
      </c>
      <c r="D122" s="8"/>
      <c r="E122" s="8"/>
      <c r="F122" s="202">
        <f>SUM(F123:F129)</f>
        <v>331735594.21417737</v>
      </c>
      <c r="G122" s="224">
        <f>SUM(G123:H129)</f>
        <v>0.20174530297341028</v>
      </c>
      <c r="H122" s="225"/>
    </row>
    <row r="123" spans="1:9" x14ac:dyDescent="0.2">
      <c r="B123" s="212" t="str">
        <f>INDEX(Language!$D$2:$X$300,SUM(Language!AB126),IF(Overview!$A$1="EN",2,11))</f>
        <v xml:space="preserve">   thereof Retail</v>
      </c>
      <c r="C123" s="213">
        <f>INDEX(Language!$D$2:$X$300,SUM(Language!AC126),IF(Overview!$A$1="EN",3,12))</f>
        <v>0</v>
      </c>
      <c r="D123" s="8"/>
      <c r="E123" s="8"/>
      <c r="F123" s="94">
        <v>63538432.834822647</v>
      </c>
      <c r="G123" s="222">
        <f t="shared" si="7"/>
        <v>3.864095564746952E-2</v>
      </c>
      <c r="H123" s="223"/>
    </row>
    <row r="124" spans="1:9" x14ac:dyDescent="0.2">
      <c r="B124" s="212" t="str">
        <f>INDEX(Language!$D$2:$X$300,SUM(Language!AB127),IF(Overview!$A$1="EN",2,11))</f>
        <v xml:space="preserve">   thereof Office</v>
      </c>
      <c r="C124" s="213">
        <f>INDEX(Language!$D$2:$X$300,SUM(Language!AC127),IF(Overview!$A$1="EN",3,12))</f>
        <v>0</v>
      </c>
      <c r="D124" s="8"/>
      <c r="E124" s="8"/>
      <c r="F124" s="94">
        <v>95927549.670423627</v>
      </c>
      <c r="G124" s="222">
        <f t="shared" si="7"/>
        <v>5.8338426473650298E-2</v>
      </c>
      <c r="H124" s="223"/>
    </row>
    <row r="125" spans="1:9" x14ac:dyDescent="0.2">
      <c r="B125" s="212" t="str">
        <f>INDEX(Language!$D$2:$X$300,SUM(Language!AB128),IF(Overview!$A$1="EN",2,11))</f>
        <v xml:space="preserve">   thereof Tourism/ hotel</v>
      </c>
      <c r="C125" s="213">
        <f>INDEX(Language!$D$2:$X$300,SUM(Language!AC128),IF(Overview!$A$1="EN",3,12))</f>
        <v>0</v>
      </c>
      <c r="D125" s="8"/>
      <c r="E125" s="8"/>
      <c r="F125" s="94">
        <v>39027680.836793654</v>
      </c>
      <c r="G125" s="222">
        <f t="shared" si="7"/>
        <v>2.373471955404657E-2</v>
      </c>
      <c r="H125" s="223"/>
    </row>
    <row r="126" spans="1:9" x14ac:dyDescent="0.2">
      <c r="B126" s="212" t="str">
        <f>INDEX(Language!$D$2:$X$300,SUM(Language!AB129),IF(Overview!$A$1="EN",2,11))</f>
        <v xml:space="preserve">   thereof Agriculture</v>
      </c>
      <c r="C126" s="213">
        <f>INDEX(Language!$D$2:$X$300,SUM(Language!AC129),IF(Overview!$A$1="EN",3,12))</f>
        <v>0</v>
      </c>
      <c r="D126" s="8"/>
      <c r="E126" s="8"/>
      <c r="F126" s="94">
        <v>3569161.5552331498</v>
      </c>
      <c r="G126" s="222">
        <f t="shared" si="7"/>
        <v>2.1705888420784566E-3</v>
      </c>
      <c r="H126" s="223"/>
    </row>
    <row r="127" spans="1:9" x14ac:dyDescent="0.2">
      <c r="B127" s="212" t="str">
        <f>INDEX(Language!$D$2:$X$300,SUM(Language!AB130),IF(Overview!$A$1="EN",2,11))</f>
        <v xml:space="preserve">   thereof Industrial</v>
      </c>
      <c r="C127" s="213">
        <f>INDEX(Language!$D$2:$X$300,SUM(Language!AC130),IF(Overview!$A$1="EN",3,12))</f>
        <v>0</v>
      </c>
      <c r="D127" s="8"/>
      <c r="E127" s="8"/>
      <c r="F127" s="94">
        <v>58352502.461213879</v>
      </c>
      <c r="G127" s="222">
        <f t="shared" si="7"/>
        <v>3.5487127379806353E-2</v>
      </c>
      <c r="H127" s="223"/>
    </row>
    <row r="128" spans="1:9" x14ac:dyDescent="0.2">
      <c r="B128" s="212" t="str">
        <f>INDEX(Language!$D$2:$X$300,SUM(Language!AB131),IF(Overview!$A$1="EN",2,11))</f>
        <v xml:space="preserve">   Mixed use</v>
      </c>
      <c r="C128" s="213">
        <f>INDEX(Language!$D$2:$X$300,SUM(Language!AC131),IF(Overview!$A$1="EN",3,12))</f>
        <v>0</v>
      </c>
      <c r="D128" s="8"/>
      <c r="E128" s="8"/>
      <c r="F128" s="94">
        <v>19982174.13440793</v>
      </c>
      <c r="G128" s="222">
        <f t="shared" si="7"/>
        <v>1.2152177351854648E-2</v>
      </c>
      <c r="H128" s="223"/>
    </row>
    <row r="129" spans="1:10" x14ac:dyDescent="0.2">
      <c r="B129" s="212" t="str">
        <f>INDEX(Language!$D$2:$X$300,SUM(Language!AB132),IF(Overview!$A$1="EN",2,11))</f>
        <v xml:space="preserve">   Other</v>
      </c>
      <c r="C129" s="213">
        <f>INDEX(Language!$D$2:$X$300,SUM(Language!AC132),IF(Overview!$A$1="EN",3,12))</f>
        <v>0</v>
      </c>
      <c r="D129" s="8"/>
      <c r="E129" s="8"/>
      <c r="F129" s="94">
        <v>51338092.721282467</v>
      </c>
      <c r="G129" s="222">
        <f t="shared" si="7"/>
        <v>3.1221307724504422E-2</v>
      </c>
      <c r="H129" s="223"/>
    </row>
    <row r="130" spans="1:10" ht="15" customHeight="1" x14ac:dyDescent="0.2">
      <c r="B130" s="218" t="str">
        <f>INDEX(Language!$D$2:$X$300,SUM(Language!AB133),IF(Overview!$A$1="EN",2,11))</f>
        <v>Total</v>
      </c>
      <c r="C130" s="219">
        <f>INDEX(Language!$D$2:$X$300,SUM(Language!AC133),IF(Overview!$A$1="EN",3,12))</f>
        <v>0</v>
      </c>
      <c r="D130" s="141"/>
      <c r="E130" s="141"/>
      <c r="F130" s="69">
        <f>F118+F122</f>
        <v>1644328712.1182673</v>
      </c>
      <c r="G130" s="220">
        <f>G118+G122</f>
        <v>1</v>
      </c>
      <c r="H130" s="221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2" t="str">
        <f>INDEX(Language!$D$2:$X$300,SUM(Language!AB137),IF(Overview!$A$1="EN",2,11))</f>
        <v>WA seasoning (in years)</v>
      </c>
      <c r="C134" s="183"/>
      <c r="D134" s="183"/>
      <c r="E134" s="183"/>
      <c r="F134" s="183"/>
      <c r="G134" s="216">
        <v>5.6192064820000001</v>
      </c>
      <c r="H134" s="217"/>
      <c r="J134" s="51"/>
    </row>
    <row r="136" spans="1:10" x14ac:dyDescent="0.2">
      <c r="B136" s="176" t="str">
        <f>INDEX(Language!$D$2:$X$300,SUM(Language!AB139),IF(Overview!$A$1="EN",2,11))</f>
        <v>Seasoning consolidated</v>
      </c>
      <c r="C136" s="167" t="str">
        <f>INDEX(Language!$D$2:$X$300,SUM(Language!AC139),IF(Overview!$A$1="EN",3,12))</f>
        <v>volume</v>
      </c>
      <c r="D136" s="168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94">
        <v>237570915.99000007</v>
      </c>
      <c r="D137" s="95">
        <f>IF(($C$142=0),0,(C137/$C$142))</f>
        <v>0.14447896837120539</v>
      </c>
    </row>
    <row r="138" spans="1:10" x14ac:dyDescent="0.2">
      <c r="B138" s="7" t="str">
        <f>INDEX(Language!$D$2:$X$300,SUM(Language!AB141),IF(Overview!$A$1="EN",2,11))</f>
        <v>12 - 36 months</v>
      </c>
      <c r="C138" s="94">
        <v>405766906.54000002</v>
      </c>
      <c r="D138" s="95">
        <f>IF(($C$142=0),0,(C138/$C$142))</f>
        <v>0.24676751281517209</v>
      </c>
    </row>
    <row r="139" spans="1:10" x14ac:dyDescent="0.2">
      <c r="B139" s="7" t="str">
        <f>INDEX(Language!$D$2:$X$300,SUM(Language!AB142),IF(Overview!$A$1="EN",2,11))</f>
        <v>36 - 60 months</v>
      </c>
      <c r="C139" s="94">
        <v>327814594.24000001</v>
      </c>
      <c r="D139" s="95">
        <f>IF(($C$142=0),0,(C139/$C$142))</f>
        <v>0.19936074327723721</v>
      </c>
    </row>
    <row r="140" spans="1:10" x14ac:dyDescent="0.2">
      <c r="B140" s="7" t="str">
        <f>INDEX(Language!$D$2:$X$300,SUM(Language!AB143),IF(Overview!$A$1="EN",2,11))</f>
        <v>60 - 120 months</v>
      </c>
      <c r="C140" s="94">
        <v>387759347.81397253</v>
      </c>
      <c r="D140" s="95">
        <f>IF(($C$142=0),0,(C140/$C$142))</f>
        <v>0.23581619961768516</v>
      </c>
    </row>
    <row r="141" spans="1:10" x14ac:dyDescent="0.2">
      <c r="B141" s="7" t="str">
        <f>INDEX(Language!$D$2:$X$300,SUM(Language!AB144),IF(Overview!$A$1="EN",2,11))</f>
        <v>≥ 120 months</v>
      </c>
      <c r="C141" s="94">
        <v>285416947.5342949</v>
      </c>
      <c r="D141" s="95">
        <f>IF(($C$142=0),0,(C141/$C$142))</f>
        <v>0.17357657591870015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1644328712.1182675</v>
      </c>
      <c r="D142" s="184">
        <f>SUM(D137:D141)</f>
        <v>1</v>
      </c>
    </row>
    <row r="144" spans="1:10" x14ac:dyDescent="0.2">
      <c r="B144" s="176" t="str">
        <f>INDEX(Language!$D$2:$X$300,SUM(Language!AB147),IF(Overview!$A$1="EN",2,11))</f>
        <v>Seasoning residential*</v>
      </c>
      <c r="C144" s="167" t="str">
        <f>INDEX(Language!$D$2:$X$300,SUM(Language!AC147),IF(Overview!$A$1="EN",3,12))</f>
        <v>volume</v>
      </c>
      <c r="D144" s="168" t="str">
        <f>INDEX(Language!$D$2:$X$300,SUM(Language!AD147),IF(Overview!$A$1="EN",4,13))</f>
        <v>%</v>
      </c>
      <c r="F144" s="176" t="str">
        <f>INDEX(Language!$D$2:$X$300,SUM(Language!AF147),IF(Overview!$A$1="EN",6,15))</f>
        <v>Seasoning commercial</v>
      </c>
      <c r="G144" s="167" t="str">
        <f>INDEX(Language!$D$2:$X$300,SUM(Language!AG147),IF(Overview!$A$1="EN",7,16))</f>
        <v>volume</v>
      </c>
      <c r="H144" s="168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94">
        <v>169379804.03200305</v>
      </c>
      <c r="D145" s="95">
        <f>IF(($C$150=0),0,(C145/$C$150))</f>
        <v>0.12904212411418378</v>
      </c>
      <c r="F145" s="7" t="str">
        <f>INDEX(Language!$D$2:$X$300,SUM(Language!AF148),IF(Overview!$A$1="EN",6,15))</f>
        <v>≤ 12 months</v>
      </c>
      <c r="G145" s="94">
        <v>68191111.957997024</v>
      </c>
      <c r="H145" s="95">
        <f>IF(($G$150=0),0,(G145/$G$150))</f>
        <v>0.20555862303389433</v>
      </c>
    </row>
    <row r="146" spans="1:10" x14ac:dyDescent="0.2">
      <c r="B146" s="7" t="str">
        <f>INDEX(Language!$D$2:$X$300,SUM(Language!AB149),IF(Overview!$A$1="EN",2,11))</f>
        <v>12 - 36 months</v>
      </c>
      <c r="C146" s="94">
        <v>327488507.56720579</v>
      </c>
      <c r="D146" s="95">
        <f>IF(($C$150=0),0,(C146/$C$150))</f>
        <v>0.24949735230223499</v>
      </c>
      <c r="F146" s="7" t="str">
        <f>INDEX(Language!$D$2:$X$300,SUM(Language!AF149),IF(Overview!$A$1="EN",6,15))</f>
        <v>12 - 36 months</v>
      </c>
      <c r="G146" s="94">
        <v>78278398.97279422</v>
      </c>
      <c r="H146" s="95">
        <f>IF(($G$150=0),0,(G146/$G$150))</f>
        <v>0.23596623436873521</v>
      </c>
    </row>
    <row r="147" spans="1:10" x14ac:dyDescent="0.2">
      <c r="B147" s="7" t="str">
        <f>INDEX(Language!$D$2:$X$300,SUM(Language!AB150),IF(Overview!$A$1="EN",2,11))</f>
        <v>36 - 60 months</v>
      </c>
      <c r="C147" s="94">
        <v>223978674.08064952</v>
      </c>
      <c r="D147" s="95">
        <f>IF(($C$150=0),0,(C147/$C$150))</f>
        <v>0.17063831207517841</v>
      </c>
      <c r="F147" s="7" t="str">
        <f>INDEX(Language!$D$2:$X$300,SUM(Language!AF150),IF(Overview!$A$1="EN",6,15))</f>
        <v>36 - 60 months</v>
      </c>
      <c r="G147" s="94">
        <v>103835920.15935045</v>
      </c>
      <c r="H147" s="95">
        <f>IF(($G$150=0),0,(G147/$G$150))</f>
        <v>0.31300807622202642</v>
      </c>
    </row>
    <row r="148" spans="1:10" x14ac:dyDescent="0.2">
      <c r="B148" s="7" t="str">
        <f>INDEX(Language!$D$2:$X$300,SUM(Language!AB151),IF(Overview!$A$1="EN",2,11))</f>
        <v>60 - 120 months</v>
      </c>
      <c r="C148" s="94">
        <v>324624526.09667915</v>
      </c>
      <c r="D148" s="95">
        <f>IF(($C$150=0),0,(C148/$C$150))</f>
        <v>0.24731542598290476</v>
      </c>
      <c r="F148" s="7" t="str">
        <f>INDEX(Language!$D$2:$X$300,SUM(Language!AF151),IF(Overview!$A$1="EN",6,15))</f>
        <v>60 - 120 months</v>
      </c>
      <c r="G148" s="94">
        <v>63134821.717293411</v>
      </c>
      <c r="H148" s="95">
        <f>IF(($G$150=0),0,(G148/$G$150))</f>
        <v>0.1903166944350623</v>
      </c>
    </row>
    <row r="149" spans="1:10" x14ac:dyDescent="0.2">
      <c r="B149" s="7" t="str">
        <f>INDEX(Language!$D$2:$X$300,SUM(Language!AB152),IF(Overview!$A$1="EN",2,11))</f>
        <v>≥ 120 months</v>
      </c>
      <c r="C149" s="94">
        <v>267121606.12755263</v>
      </c>
      <c r="D149" s="95">
        <f>IF(($C$150=0),0,(C149/$C$150))</f>
        <v>0.20350678552549822</v>
      </c>
      <c r="F149" s="7" t="str">
        <f>INDEX(Language!$D$2:$X$300,SUM(Language!AF152),IF(Overview!$A$1="EN",6,15))</f>
        <v>≥ 120 months</v>
      </c>
      <c r="G149" s="94">
        <v>18295341.40674223</v>
      </c>
      <c r="H149" s="95">
        <f>IF(($G$150=0),0,(G149/$G$150))</f>
        <v>5.5150371940281662E-2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1312593117.9040899</v>
      </c>
      <c r="D150" s="165">
        <f>SUM(D145:D149)</f>
        <v>1.0000000000000002</v>
      </c>
      <c r="F150" s="11" t="str">
        <f>INDEX(Language!$D$2:$X$300,SUM(Language!AF153),IF(Overview!$A$1="EN",6,15))</f>
        <v>Total</v>
      </c>
      <c r="G150" s="69">
        <f>SUM(G145:G149)</f>
        <v>331735594.21417737</v>
      </c>
      <c r="H150" s="203">
        <f>SUM(H145:H149)</f>
        <v>1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4"/>
      <c r="D155" s="181"/>
      <c r="E155" s="174"/>
      <c r="F155" s="181"/>
      <c r="G155" s="174"/>
      <c r="H155" s="185"/>
    </row>
    <row r="156" spans="1:10" ht="27.75" customHeight="1" x14ac:dyDescent="0.2">
      <c r="B156" s="214" t="str">
        <f>INDEX(Language!$D$2:$X$300,SUM(Language!AB159),IF(Overview!$A$1="EN",2,11))</f>
        <v>WA residual life (incl. contractural amortisation)</v>
      </c>
      <c r="C156" s="213">
        <f>INDEX(Language!$D$2:$X$300,SUM(Language!AC159),IF(Overview!$A$1="EN",3,12))</f>
        <v>0</v>
      </c>
      <c r="D156" s="213">
        <f>INDEX(Language!$D$2:$X$300,SUM(Language!AD159),IF(Overview!$A$1="EN",4,13))</f>
        <v>0</v>
      </c>
      <c r="E156" s="213">
        <f>INDEX(Language!$D$2:$X$300,SUM(Language!AE159),IF(Overview!$A$1="EN",5,14))</f>
        <v>0</v>
      </c>
      <c r="F156" s="213">
        <f>INDEX(Language!$D$2:$X$300,SUM(Language!AF159),IF(Overview!$A$1="EN",6,15))</f>
        <v>0</v>
      </c>
      <c r="G156" s="213">
        <f>INDEX(Language!$D$2:$X$300,SUM(Language!AG159),IF(Overview!$A$1="EN",7,16))</f>
        <v>0</v>
      </c>
      <c r="H156" s="103">
        <v>8.15589808</v>
      </c>
    </row>
    <row r="157" spans="1:10" x14ac:dyDescent="0.2">
      <c r="B157" s="212" t="str">
        <f>INDEX(Language!$D$2:$X$300,SUM(Language!AB160),IF(Overview!$A$1="EN",2,11))</f>
        <v>WA residual life (final legal maturity)</v>
      </c>
      <c r="C157" s="213">
        <f>INDEX(Language!$D$2:$X$300,SUM(Language!AC160),IF(Overview!$A$1="EN",3,12))</f>
        <v>0</v>
      </c>
      <c r="D157" s="213">
        <f>INDEX(Language!$D$2:$X$300,SUM(Language!AD160),IF(Overview!$A$1="EN",4,13))</f>
        <v>0</v>
      </c>
      <c r="E157" s="213">
        <f>INDEX(Language!$D$2:$X$300,SUM(Language!AE160),IF(Overview!$A$1="EN",5,14))</f>
        <v>0</v>
      </c>
      <c r="F157" s="213">
        <f>INDEX(Language!$D$2:$X$300,SUM(Language!AF160),IF(Overview!$A$1="EN",6,15))</f>
        <v>0</v>
      </c>
      <c r="G157" s="213">
        <f>INDEX(Language!$D$2:$X$300,SUM(Language!AG160),IF(Overview!$A$1="EN",7,16))</f>
        <v>0</v>
      </c>
      <c r="H157" s="103">
        <v>15.971826610000001</v>
      </c>
    </row>
    <row r="158" spans="1:10" x14ac:dyDescent="0.2">
      <c r="B158" s="214" t="str">
        <f>INDEX(Language!$D$2:$X$300,SUM(Language!AB161),IF(Overview!$A$1="EN",2,11))</f>
        <v>WA residual life of issues (final legal maturity)</v>
      </c>
      <c r="C158" s="215">
        <f>INDEX(Language!$D$2:$X$300,SUM(Language!AC161),IF(Overview!$A$1="EN",3,12))</f>
        <v>0</v>
      </c>
      <c r="D158" s="215">
        <f>INDEX(Language!$D$2:$X$300,SUM(Language!AD161),IF(Overview!$A$1="EN",4,13))</f>
        <v>0</v>
      </c>
      <c r="E158" s="215">
        <f>INDEX(Language!$D$2:$X$300,SUM(Language!AE161),IF(Overview!$A$1="EN",5,14))</f>
        <v>0</v>
      </c>
      <c r="F158" s="215">
        <f>INDEX(Language!$D$2:$X$300,SUM(Language!AF161),IF(Overview!$A$1="EN",6,15))</f>
        <v>0</v>
      </c>
      <c r="G158" s="215">
        <f>INDEX(Language!$D$2:$X$300,SUM(Language!AG161),IF(Overview!$A$1="EN",7,16))</f>
        <v>0</v>
      </c>
      <c r="H158" s="103">
        <v>2.5690838600000001</v>
      </c>
    </row>
    <row r="159" spans="1:10" x14ac:dyDescent="0.2">
      <c r="H159" s="75"/>
    </row>
    <row r="160" spans="1:10" x14ac:dyDescent="0.2">
      <c r="B160" s="11" t="str">
        <f>INDEX(Language!$D$2:$X$300,SUM(Language!AB163),IF(Overview!$A$1="EN",2,11))</f>
        <v>Commercial</v>
      </c>
      <c r="C160" s="174"/>
      <c r="D160" s="181"/>
      <c r="E160" s="174"/>
      <c r="F160" s="181"/>
      <c r="G160" s="174"/>
      <c r="H160" s="102"/>
    </row>
    <row r="161" spans="2:8" ht="25.5" customHeight="1" x14ac:dyDescent="0.2">
      <c r="B161" s="214" t="str">
        <f>INDEX(Language!$D$2:$X$300,SUM(Language!AB164),IF(Overview!$A$1="EN",2,11))</f>
        <v>WA residual life (incl. contractural amortisation)</v>
      </c>
      <c r="C161" s="213">
        <f>INDEX(Language!$D$2:$X$300,SUM(Language!AC164),IF(Overview!$A$1="EN",3,12))</f>
        <v>0</v>
      </c>
      <c r="D161" s="213">
        <f>INDEX(Language!$D$2:$X$300,SUM(Language!AD164),IF(Overview!$A$1="EN",4,13))</f>
        <v>0</v>
      </c>
      <c r="E161" s="213">
        <f>INDEX(Language!$D$2:$X$300,SUM(Language!AE164),IF(Overview!$A$1="EN",5,14))</f>
        <v>0</v>
      </c>
      <c r="F161" s="213">
        <f>INDEX(Language!$D$2:$X$300,SUM(Language!AF164),IF(Overview!$A$1="EN",6,15))</f>
        <v>0</v>
      </c>
      <c r="G161" s="213">
        <f>INDEX(Language!$D$2:$X$300,SUM(Language!AG164),IF(Overview!$A$1="EN",7,16))</f>
        <v>0</v>
      </c>
      <c r="H161" s="103">
        <v>4.6226821899999999</v>
      </c>
    </row>
    <row r="162" spans="2:8" x14ac:dyDescent="0.2">
      <c r="B162" s="212" t="str">
        <f>INDEX(Language!$D$2:$X$300,SUM(Language!AB165),IF(Overview!$A$1="EN",2,11))</f>
        <v>WA residual life (final legal maturity)</v>
      </c>
      <c r="C162" s="213">
        <f>INDEX(Language!$D$2:$X$300,SUM(Language!AC165),IF(Overview!$A$1="EN",3,12))</f>
        <v>0</v>
      </c>
      <c r="D162" s="213">
        <f>INDEX(Language!$D$2:$X$300,SUM(Language!AD165),IF(Overview!$A$1="EN",4,13))</f>
        <v>0</v>
      </c>
      <c r="E162" s="213">
        <f>INDEX(Language!$D$2:$X$300,SUM(Language!AE165),IF(Overview!$A$1="EN",5,14))</f>
        <v>0</v>
      </c>
      <c r="F162" s="213">
        <f>INDEX(Language!$D$2:$X$300,SUM(Language!AF165),IF(Overview!$A$1="EN",6,15))</f>
        <v>0</v>
      </c>
      <c r="G162" s="213">
        <f>INDEX(Language!$D$2:$X$300,SUM(Language!AG165),IF(Overview!$A$1="EN",7,16))</f>
        <v>0</v>
      </c>
      <c r="H162" s="103">
        <v>6.9075034400000002</v>
      </c>
    </row>
    <row r="163" spans="2:8" x14ac:dyDescent="0.2">
      <c r="H163" s="75"/>
    </row>
    <row r="164" spans="2:8" x14ac:dyDescent="0.2">
      <c r="B164" s="11" t="str">
        <f>INDEX(Language!$D$2:$X$300,SUM(Language!AB167),IF(Overview!$A$1="EN",2,11))</f>
        <v>Residential</v>
      </c>
      <c r="C164" s="174"/>
      <c r="D164" s="181"/>
      <c r="E164" s="174"/>
      <c r="F164" s="181"/>
      <c r="G164" s="174"/>
      <c r="H164" s="102"/>
    </row>
    <row r="165" spans="2:8" ht="25.5" customHeight="1" x14ac:dyDescent="0.2">
      <c r="B165" s="214" t="str">
        <f>INDEX(Language!$D$2:$X$300,SUM(Language!AB168),IF(Overview!$A$1="EN",2,11))</f>
        <v>WA residual life (incl. contractural amortisation)</v>
      </c>
      <c r="C165" s="213">
        <f>INDEX(Language!$D$2:$X$300,SUM(Language!AC168),IF(Overview!$A$1="EN",3,12))</f>
        <v>0</v>
      </c>
      <c r="D165" s="213">
        <f>INDEX(Language!$D$2:$X$300,SUM(Language!AD168),IF(Overview!$A$1="EN",4,13))</f>
        <v>0</v>
      </c>
      <c r="E165" s="213">
        <f>INDEX(Language!$D$2:$X$300,SUM(Language!AE168),IF(Overview!$A$1="EN",5,14))</f>
        <v>0</v>
      </c>
      <c r="F165" s="213">
        <f>INDEX(Language!$D$2:$X$300,SUM(Language!AF168),IF(Overview!$A$1="EN",6,15))</f>
        <v>0</v>
      </c>
      <c r="G165" s="213">
        <f>INDEX(Language!$D$2:$X$300,SUM(Language!AG168),IF(Overview!$A$1="EN",7,16))</f>
        <v>0</v>
      </c>
      <c r="H165" s="103">
        <v>9.0488583299999998</v>
      </c>
    </row>
    <row r="166" spans="2:8" x14ac:dyDescent="0.2">
      <c r="B166" s="212" t="str">
        <f>INDEX(Language!$D$2:$X$300,SUM(Language!AB169),IF(Overview!$A$1="EN",2,11))</f>
        <v>WA residual life (final legal maturity)</v>
      </c>
      <c r="C166" s="213">
        <f>INDEX(Language!$D$2:$X$300,SUM(Language!AC169),IF(Overview!$A$1="EN",3,12))</f>
        <v>0</v>
      </c>
      <c r="D166" s="213">
        <f>INDEX(Language!$D$2:$X$300,SUM(Language!AD169),IF(Overview!$A$1="EN",4,13))</f>
        <v>0</v>
      </c>
      <c r="E166" s="213">
        <f>INDEX(Language!$D$2:$X$300,SUM(Language!AE169),IF(Overview!$A$1="EN",5,14))</f>
        <v>0</v>
      </c>
      <c r="F166" s="213">
        <f>INDEX(Language!$D$2:$X$300,SUM(Language!AF169),IF(Overview!$A$1="EN",6,15))</f>
        <v>0</v>
      </c>
      <c r="G166" s="213">
        <f>INDEX(Language!$D$2:$X$300,SUM(Language!AG169),IF(Overview!$A$1="EN",7,16))</f>
        <v>0</v>
      </c>
      <c r="H166" s="103">
        <v>18.26268018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6" t="str">
        <f>INDEX(Language!$D$2:$X$300,SUM(Language!AB172),IF(Overview!$A$1="EN",2,11))</f>
        <v>Primary cover pool</v>
      </c>
      <c r="C169" s="167" t="str">
        <f>INDEX(Language!$D$2:$X$300,SUM(Language!AC172),IF(Overview!$A$1="EN",3,12))</f>
        <v>volume</v>
      </c>
      <c r="D169" s="168" t="str">
        <f>INDEX(Language!$D$2:$X$300,SUM(Language!AD172),IF(Overview!$A$1="EN",4,13))</f>
        <v>%</v>
      </c>
      <c r="F169" s="176" t="str">
        <f>INDEX(Language!$D$2:$X$300,SUM(Language!AF172),IF(Overview!$A$1="EN",6,15))</f>
        <v>Issues</v>
      </c>
      <c r="G169" s="167" t="str">
        <f>INDEX(Language!$D$2:$X$300,SUM(Language!AG172),IF(Overview!$A$1="EN",7,16))</f>
        <v>volume</v>
      </c>
      <c r="H169" s="168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94">
        <v>164597670.55455637</v>
      </c>
      <c r="D170" s="95">
        <f>IF(($C$175=0),0,(C170/$C$175))</f>
        <v>0.10010022286998645</v>
      </c>
      <c r="F170" s="7" t="str">
        <f>INDEX(Language!$D$2:$X$300,SUM(Language!AF173),IF(Overview!$A$1="EN",6,15))</f>
        <v>≤ 12 months</v>
      </c>
      <c r="G170" s="94">
        <v>54379000</v>
      </c>
      <c r="H170" s="95">
        <f>IF(($G$175=0),0,(G170/$G$175))</f>
        <v>4.9013713817019917E-2</v>
      </c>
    </row>
    <row r="171" spans="2:8" x14ac:dyDescent="0.2">
      <c r="B171" s="7" t="str">
        <f>INDEX(Language!$D$2:$X$300,SUM(Language!AB174),IF(Overview!$A$1="EN",2,11))</f>
        <v>12 - 36 months</v>
      </c>
      <c r="C171" s="94">
        <v>112822079.98856483</v>
      </c>
      <c r="D171" s="95">
        <f>IF(($C$175=0),0,(C171/$C$175))</f>
        <v>6.8612850433794628E-2</v>
      </c>
      <c r="F171" s="7" t="str">
        <f>INDEX(Language!$D$2:$X$300,SUM(Language!AF174),IF(Overview!$A$1="EN",6,15))</f>
        <v>12 - 36 months</v>
      </c>
      <c r="G171" s="94">
        <v>1013000000</v>
      </c>
      <c r="H171" s="95">
        <f>IF(($G$175=0),0,(G171/$G$175))</f>
        <v>0.91305268755661517</v>
      </c>
    </row>
    <row r="172" spans="2:8" x14ac:dyDescent="0.2">
      <c r="B172" s="7" t="str">
        <f>INDEX(Language!$D$2:$X$300,SUM(Language!AB175),IF(Overview!$A$1="EN",2,11))</f>
        <v>36 - 60 months</v>
      </c>
      <c r="C172" s="94">
        <v>104943043.49704842</v>
      </c>
      <c r="D172" s="95">
        <f>IF(($C$175=0),0,(C172/$C$175))</f>
        <v>6.3821207234080357E-2</v>
      </c>
      <c r="F172" s="7" t="str">
        <f>INDEX(Language!$D$2:$X$300,SUM(Language!AF175),IF(Overview!$A$1="EN",6,15))</f>
        <v>36 - 60 months</v>
      </c>
      <c r="G172" s="94"/>
      <c r="H172" s="95">
        <f>IF(($G$175=0),0,(G172/$G$175))</f>
        <v>0</v>
      </c>
    </row>
    <row r="173" spans="2:8" x14ac:dyDescent="0.2">
      <c r="B173" s="7" t="str">
        <f>INDEX(Language!$D$2:$X$300,SUM(Language!AB176),IF(Overview!$A$1="EN",2,11))</f>
        <v>60 - 120 months</v>
      </c>
      <c r="C173" s="94">
        <v>161976516.45560947</v>
      </c>
      <c r="D173" s="95">
        <f>IF(($C$175=0),0,(C173/$C$175))</f>
        <v>9.8506165623628295E-2</v>
      </c>
      <c r="F173" s="7" t="str">
        <f>INDEX(Language!$D$2:$X$300,SUM(Language!AF176),IF(Overview!$A$1="EN",6,15))</f>
        <v>60 - 120 months</v>
      </c>
      <c r="G173" s="94">
        <v>32086000</v>
      </c>
      <c r="H173" s="95">
        <f>IF(($G$175=0),0,(G173/$G$175))</f>
        <v>2.8920245343476359E-2</v>
      </c>
    </row>
    <row r="174" spans="2:8" x14ac:dyDescent="0.2">
      <c r="B174" s="7" t="str">
        <f>INDEX(Language!$D$2:$X$300,SUM(Language!AB177),IF(Overview!$A$1="EN",2,11))</f>
        <v>≥ 120 months</v>
      </c>
      <c r="C174" s="94">
        <v>1099989401.6224883</v>
      </c>
      <c r="D174" s="95">
        <f>IF(($C$175=0),0,(C174/$C$175))</f>
        <v>0.66895955383851013</v>
      </c>
      <c r="F174" s="7" t="str">
        <f>INDEX(Language!$D$2:$X$300,SUM(Language!AF177),IF(Overview!$A$1="EN",6,15))</f>
        <v>≥ 120 months</v>
      </c>
      <c r="G174" s="94">
        <v>10000000</v>
      </c>
      <c r="H174" s="95">
        <f>IF(($G$175=0),0,(G174/$G$175))</f>
        <v>9.0133532828885997E-3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1644328712.1182675</v>
      </c>
      <c r="D175" s="165">
        <f>SUM(D170:D174)</f>
        <v>0.99999999999999989</v>
      </c>
      <c r="F175" s="11" t="str">
        <f>INDEX(Language!$D$2:$X$300,SUM(Language!AF178),IF(Overview!$A$1="EN",6,15))</f>
        <v>Total</v>
      </c>
      <c r="G175" s="69">
        <f>SUM(G170:G174)</f>
        <v>1109465000</v>
      </c>
      <c r="H175" s="165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7"/>
      <c r="D192" s="175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7"/>
      <c r="D195" s="175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7"/>
      <c r="H195" s="175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149">
        <v>1302261079.4482675</v>
      </c>
      <c r="F196" s="7" t="str">
        <f>INDEX(Language!$D$2:$X$300,SUM(Language!AF199),IF(Overview!$A$1="EN",6,15))</f>
        <v>Variable, fixed rate during the year</v>
      </c>
      <c r="G196" s="8"/>
      <c r="H196" s="149">
        <v>69465000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149">
        <v>36593267.960000001</v>
      </c>
      <c r="F197" s="7" t="str">
        <f>INDEX(Language!$D$2:$X$300,SUM(Language!AF200),IF(Overview!$A$1="EN",6,15))</f>
        <v>Fixed rate, 1 - 2 years</v>
      </c>
      <c r="G197" s="8"/>
      <c r="H197" s="149">
        <v>500000000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149">
        <v>132067640.64</v>
      </c>
      <c r="F198" s="7" t="str">
        <f>INDEX(Language!$D$2:$X$300,SUM(Language!AF201),IF(Overview!$A$1="EN",6,15))</f>
        <v>Fixed rate, 2 - 5 years</v>
      </c>
      <c r="G198" s="8"/>
      <c r="H198" s="149">
        <v>500000000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149">
        <v>173406724.06999999</v>
      </c>
      <c r="F199" s="7" t="str">
        <f>INDEX(Language!$D$2:$X$300,SUM(Language!AF202),IF(Overview!$A$1="EN",6,15))</f>
        <v>Fixed rate, &gt; 5 years</v>
      </c>
      <c r="G199" s="8"/>
      <c r="H199" s="149">
        <v>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7">
        <f>SUM(D196:D199)</f>
        <v>1644328712.1182675</v>
      </c>
      <c r="F200" s="11" t="str">
        <f>INDEX(Language!$D$2:$X$300,SUM(Language!AF203),IF(Overview!$A$1="EN",6,15))</f>
        <v>Total</v>
      </c>
      <c r="G200" s="141"/>
      <c r="H200" s="197">
        <f>SUM(H196:H199)</f>
        <v>1109465000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  <mergeCell ref="G113:H113"/>
    <mergeCell ref="B117:C117"/>
    <mergeCell ref="G117:H117"/>
    <mergeCell ref="B118:C118"/>
    <mergeCell ref="G118:H118"/>
    <mergeCell ref="B119:C119"/>
    <mergeCell ref="B120:C120"/>
    <mergeCell ref="G120:H120"/>
    <mergeCell ref="G121:H121"/>
    <mergeCell ref="G119:H119"/>
    <mergeCell ref="B122:C122"/>
    <mergeCell ref="B123:C123"/>
    <mergeCell ref="B124:C124"/>
    <mergeCell ref="G122:H122"/>
    <mergeCell ref="G123:H123"/>
    <mergeCell ref="G124:H124"/>
    <mergeCell ref="B125:C125"/>
    <mergeCell ref="B126:C126"/>
    <mergeCell ref="B127:C127"/>
    <mergeCell ref="G125:H125"/>
    <mergeCell ref="G126:H126"/>
    <mergeCell ref="G127:H127"/>
    <mergeCell ref="G134:H134"/>
    <mergeCell ref="B128:C128"/>
    <mergeCell ref="B129:C129"/>
    <mergeCell ref="B130:C130"/>
    <mergeCell ref="G130:H130"/>
    <mergeCell ref="G129:H129"/>
    <mergeCell ref="G128:H128"/>
    <mergeCell ref="B162:G162"/>
    <mergeCell ref="B165:G165"/>
    <mergeCell ref="B166:G166"/>
    <mergeCell ref="B156:G156"/>
    <mergeCell ref="B157:G157"/>
    <mergeCell ref="B158:G158"/>
    <mergeCell ref="B161:G16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selection activeCell="G24" sqref="G24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61">
        <v>0</v>
      </c>
    </row>
    <row r="6" spans="1:10" x14ac:dyDescent="0.25">
      <c r="B6" s="38" t="str">
        <f>INDEX(Language!$D$2:$X$300,SUM(Language!AB209),IF(Overview!$A$1="EN",3,11))</f>
        <v>Bonds</v>
      </c>
      <c r="C6" s="36"/>
      <c r="D6" s="204">
        <v>24436000</v>
      </c>
      <c r="E6" s="209"/>
      <c r="F6" s="209"/>
      <c r="G6" s="209"/>
      <c r="H6" s="209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04">
        <v>20000000</v>
      </c>
      <c r="E7" s="209"/>
      <c r="F7" s="209"/>
      <c r="G7" s="209"/>
      <c r="H7" s="209"/>
    </row>
    <row r="8" spans="1:10" x14ac:dyDescent="0.25">
      <c r="B8" s="40" t="str">
        <f>INDEX(Language!$D$2:$X$300,SUM(Language!AB211),IF(Overview!$A$1="EN",3,11))</f>
        <v>Total</v>
      </c>
      <c r="C8" s="45"/>
      <c r="D8" s="62">
        <v>24436000</v>
      </c>
      <c r="E8" s="209"/>
      <c r="F8" s="209"/>
      <c r="G8" s="209"/>
      <c r="H8" s="209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208">
        <v>2.202503008206658E-2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207"/>
      <c r="D12" s="48">
        <v>0</v>
      </c>
    </row>
    <row r="13" spans="1:10" x14ac:dyDescent="0.25">
      <c r="B13" s="38" t="str">
        <f>INDEX(Language!$D$2:$X$300,SUM(Language!AB216),IF(Overview!$A$1="EN",3,11))</f>
        <v>1.000.000 - 5.000.000</v>
      </c>
      <c r="C13" s="207">
        <v>5000000</v>
      </c>
      <c r="D13" s="48">
        <v>1</v>
      </c>
    </row>
    <row r="14" spans="1:10" x14ac:dyDescent="0.25">
      <c r="B14" s="38" t="str">
        <f>INDEX(Language!$D$2:$X$300,SUM(Language!AB217),IF(Overview!$A$1="EN",3,11))</f>
        <v>≥ 5.000.000</v>
      </c>
      <c r="C14" s="207">
        <v>19436000</v>
      </c>
      <c r="D14" s="48">
        <v>1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24436000</v>
      </c>
      <c r="D15" s="49">
        <f>SUM(D12:D14)</f>
        <v>2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07">
        <v>24436000</v>
      </c>
      <c r="D18" s="46">
        <f>IF(($C$23=0),0,(C18/$C$23))</f>
        <v>1</v>
      </c>
    </row>
    <row r="19" spans="2:4" x14ac:dyDescent="0.25">
      <c r="B19" s="38" t="str">
        <f>INDEX(Language!$D$2:$X$300,SUM(Language!AB222),IF(Overview!$A$1="EN",3,11))</f>
        <v>CHF</v>
      </c>
      <c r="C19" s="63">
        <v>0</v>
      </c>
      <c r="D19" s="46">
        <f t="shared" ref="D19:D22" si="0">IF(($C$23=0),0,(C19/$C$23))</f>
        <v>0</v>
      </c>
    </row>
    <row r="20" spans="2:4" x14ac:dyDescent="0.25">
      <c r="B20" s="38" t="str">
        <f>INDEX(Language!$D$2:$X$300,SUM(Language!AB223),IF(Overview!$A$1="EN",3,11))</f>
        <v>USD</v>
      </c>
      <c r="C20" s="63">
        <v>0</v>
      </c>
      <c r="D20" s="46">
        <f t="shared" si="0"/>
        <v>0</v>
      </c>
    </row>
    <row r="21" spans="2:4" x14ac:dyDescent="0.25">
      <c r="B21" s="38" t="str">
        <f>INDEX(Language!$D$2:$X$300,SUM(Language!AB224),IF(Overview!$A$1="EN",3,11))</f>
        <v>JPY</v>
      </c>
      <c r="C21" s="63">
        <v>0</v>
      </c>
      <c r="D21" s="46">
        <f t="shared" si="0"/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>
        <v>0</v>
      </c>
      <c r="D22" s="46">
        <f t="shared" si="0"/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24436000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64">
        <f>SUM(C27:C54)</f>
        <v>24436000</v>
      </c>
      <c r="D26" s="50">
        <f>SUM(D27:D54)</f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07">
        <v>24436000</v>
      </c>
      <c r="D27" s="78">
        <f>IF(($C$61=0),0,(C27/$C$61))</f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77">
        <v>0</v>
      </c>
      <c r="D28" s="78">
        <f t="shared" ref="D28:D54" si="1">IF(($C$61=0),0,(C28/$C$61))</f>
        <v>0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1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1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1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1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1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1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1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1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0</v>
      </c>
      <c r="D37" s="78">
        <f t="shared" si="1"/>
        <v>0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1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1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1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1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1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1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1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1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1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1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1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1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77">
        <v>0</v>
      </c>
      <c r="D50" s="78">
        <f t="shared" si="1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1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1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1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1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2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2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2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2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2"/>
        <v>0</v>
      </c>
    </row>
    <row r="61" spans="2:4" x14ac:dyDescent="0.25">
      <c r="B61" s="39" t="str">
        <f>INDEX(Language!$D$2:$X$300,SUM(Language!AB264),IF(Overview!$A$1="EN",3,11))</f>
        <v>Total</v>
      </c>
      <c r="C61" s="65">
        <f>C26+C55+C59+C60</f>
        <v>24436000</v>
      </c>
      <c r="D61" s="4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52" t="s">
        <v>156</v>
      </c>
      <c r="F2" s="252"/>
      <c r="G2" s="252"/>
      <c r="H2" s="80"/>
      <c r="I2" s="80" t="s">
        <v>0</v>
      </c>
      <c r="J2" s="253" t="s">
        <v>156</v>
      </c>
      <c r="K2" s="253"/>
      <c r="L2" s="253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54" t="s">
        <v>297</v>
      </c>
      <c r="E36" s="254"/>
      <c r="F36" s="254"/>
      <c r="G36" s="254"/>
      <c r="H36" s="27"/>
      <c r="I36" s="255" t="s">
        <v>290</v>
      </c>
      <c r="J36" s="255"/>
      <c r="K36" s="255"/>
      <c r="L36" s="255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54" t="s">
        <v>298</v>
      </c>
      <c r="E37" s="254"/>
      <c r="F37" s="254"/>
      <c r="G37" s="254"/>
      <c r="H37" s="6"/>
      <c r="I37" s="255" t="s">
        <v>291</v>
      </c>
      <c r="J37" s="255"/>
      <c r="K37" s="255"/>
      <c r="L37" s="255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56" t="s">
        <v>247</v>
      </c>
      <c r="K139" s="257"/>
      <c r="M139" s="2"/>
      <c r="N139" s="18"/>
      <c r="O139" s="19" t="s">
        <v>24</v>
      </c>
      <c r="P139" s="22"/>
      <c r="Q139" s="22"/>
      <c r="R139" s="19" t="s">
        <v>80</v>
      </c>
      <c r="S139" s="256" t="s">
        <v>117</v>
      </c>
      <c r="T139" s="257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30">
        <f>IF(($C$99=0),0,(F140/$C$99))</f>
        <v>0</v>
      </c>
      <c r="K140" s="231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30">
        <f>IF(($C$99=0),0,(O140/$C$99))</f>
        <v>0</v>
      </c>
      <c r="T140" s="231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30">
        <f t="shared" ref="J141:J149" si="11">IF(($C$99=0),0,(F141/$C$99))</f>
        <v>0</v>
      </c>
      <c r="K141" s="231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30">
        <f t="shared" ref="S141:S149" si="13">IF(($C$99=0),0,(O141/$C$99))</f>
        <v>0</v>
      </c>
      <c r="T141" s="231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30">
        <f t="shared" si="11"/>
        <v>0</v>
      </c>
      <c r="K142" s="231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30">
        <f t="shared" si="13"/>
        <v>0</v>
      </c>
      <c r="T142" s="231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30">
        <f t="shared" si="11"/>
        <v>0</v>
      </c>
      <c r="K143" s="231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30">
        <f t="shared" si="13"/>
        <v>0</v>
      </c>
      <c r="T143" s="231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30">
        <f t="shared" si="11"/>
        <v>0</v>
      </c>
      <c r="K144" s="231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30">
        <f t="shared" si="13"/>
        <v>0</v>
      </c>
      <c r="T144" s="231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30">
        <f t="shared" si="11"/>
        <v>0</v>
      </c>
      <c r="K145" s="231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30">
        <f t="shared" si="13"/>
        <v>0</v>
      </c>
      <c r="T145" s="231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30">
        <f t="shared" si="11"/>
        <v>0</v>
      </c>
      <c r="K146" s="231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30">
        <f t="shared" si="13"/>
        <v>0</v>
      </c>
      <c r="T146" s="231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30">
        <f t="shared" si="11"/>
        <v>0</v>
      </c>
      <c r="K147" s="231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30">
        <f t="shared" si="13"/>
        <v>0</v>
      </c>
      <c r="T147" s="231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30">
        <f t="shared" si="11"/>
        <v>0</v>
      </c>
      <c r="K148" s="231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30">
        <f t="shared" si="13"/>
        <v>0</v>
      </c>
      <c r="T148" s="231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30">
        <f t="shared" si="11"/>
        <v>0</v>
      </c>
      <c r="K149" s="231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30">
        <f t="shared" si="13"/>
        <v>0</v>
      </c>
      <c r="T149" s="231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40">
        <f>SUM(J140:K149)</f>
        <v>0</v>
      </c>
      <c r="K150" s="241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40">
        <f>SUM(S140:T149)</f>
        <v>0</v>
      </c>
      <c r="T150" s="241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38" t="s">
        <v>322</v>
      </c>
      <c r="F154" s="239"/>
      <c r="G154" s="112"/>
      <c r="H154" s="112"/>
      <c r="I154" s="112" t="s">
        <v>198</v>
      </c>
      <c r="J154" s="242" t="s">
        <v>41</v>
      </c>
      <c r="K154" s="243"/>
      <c r="M154" s="2"/>
      <c r="N154" s="238" t="s">
        <v>350</v>
      </c>
      <c r="O154" s="239"/>
      <c r="P154" s="112"/>
      <c r="Q154" s="112"/>
      <c r="R154" s="112" t="s">
        <v>24</v>
      </c>
      <c r="S154" s="242" t="s">
        <v>41</v>
      </c>
      <c r="T154" s="243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48" t="s">
        <v>323</v>
      </c>
      <c r="F155" s="249"/>
      <c r="G155" s="249"/>
      <c r="H155" s="141"/>
      <c r="I155" s="69">
        <f>SUM(I156:I158)</f>
        <v>60000000</v>
      </c>
      <c r="J155" s="220">
        <f>SUM(J156:K158)</f>
        <v>1</v>
      </c>
      <c r="K155" s="221"/>
      <c r="M155" s="2"/>
      <c r="N155" s="218" t="s">
        <v>351</v>
      </c>
      <c r="O155" s="219"/>
      <c r="P155" s="8"/>
      <c r="Q155" s="8"/>
      <c r="R155" s="69">
        <f>SUM(R156:R158)</f>
        <v>15000000000</v>
      </c>
      <c r="S155" s="220">
        <f>SUM(S156:T158)</f>
        <v>250</v>
      </c>
      <c r="T155" s="221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50" t="s">
        <v>324</v>
      </c>
      <c r="F156" s="251"/>
      <c r="G156" s="251"/>
      <c r="H156" s="8"/>
      <c r="I156" s="66">
        <v>20000000</v>
      </c>
      <c r="J156" s="230">
        <f>IF(($F$130=0),0,(I156/$F$130))</f>
        <v>0.33333333333333331</v>
      </c>
      <c r="K156" s="231"/>
      <c r="M156" s="2"/>
      <c r="N156" s="212" t="s">
        <v>352</v>
      </c>
      <c r="O156" s="213"/>
      <c r="P156" s="8"/>
      <c r="Q156" s="8"/>
      <c r="R156" s="66">
        <v>5000000000</v>
      </c>
      <c r="S156" s="230">
        <f>IF(($F$130=0),0,(R156/$F$130))</f>
        <v>83.333333333333329</v>
      </c>
      <c r="T156" s="231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44" t="s">
        <v>325</v>
      </c>
      <c r="F157" s="245"/>
      <c r="G157" s="142"/>
      <c r="H157" s="8"/>
      <c r="I157" s="66">
        <v>20000000</v>
      </c>
      <c r="J157" s="230">
        <f t="shared" ref="J157:J158" si="14">IF(($F$130=0),0,(I157/$F$130))</f>
        <v>0.33333333333333331</v>
      </c>
      <c r="K157" s="231"/>
      <c r="M157" s="2"/>
      <c r="N157" s="212" t="s">
        <v>353</v>
      </c>
      <c r="O157" s="213"/>
      <c r="P157" s="8"/>
      <c r="Q157" s="8"/>
      <c r="R157" s="66">
        <v>5000000000</v>
      </c>
      <c r="S157" s="230">
        <f t="shared" ref="S157:S166" si="15">IF(($F$130=0),0,(R157/$F$130))</f>
        <v>83.333333333333329</v>
      </c>
      <c r="T157" s="231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30">
        <f t="shared" si="14"/>
        <v>0.33333333333333331</v>
      </c>
      <c r="K158" s="231"/>
      <c r="M158" s="2"/>
      <c r="N158" s="114" t="s">
        <v>354</v>
      </c>
      <c r="O158" s="115"/>
      <c r="P158" s="8"/>
      <c r="Q158" s="8"/>
      <c r="R158" s="66">
        <v>5000000000</v>
      </c>
      <c r="S158" s="230">
        <f t="shared" si="15"/>
        <v>83.333333333333329</v>
      </c>
      <c r="T158" s="231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46" t="s">
        <v>327</v>
      </c>
      <c r="F159" s="247"/>
      <c r="G159" s="144"/>
      <c r="H159" s="141"/>
      <c r="I159" s="69">
        <f>SUM(I160:I166)</f>
        <v>140000000</v>
      </c>
      <c r="J159" s="220">
        <f>SUM(J160:K166)</f>
        <v>2.333333333333333</v>
      </c>
      <c r="K159" s="221"/>
      <c r="M159" s="2"/>
      <c r="N159" s="218" t="s">
        <v>355</v>
      </c>
      <c r="O159" s="219"/>
      <c r="P159" s="8"/>
      <c r="Q159" s="8"/>
      <c r="R159" s="69">
        <f>SUM(R160:R166)</f>
        <v>0</v>
      </c>
      <c r="S159" s="220">
        <f>SUM(S160:T166)</f>
        <v>0</v>
      </c>
      <c r="T159" s="221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44" t="s">
        <v>328</v>
      </c>
      <c r="F160" s="245"/>
      <c r="G160" s="145"/>
      <c r="H160" s="8"/>
      <c r="I160" s="66">
        <v>20000000</v>
      </c>
      <c r="J160" s="230">
        <f>IF(($F$130=0),0,(I160/$F$130))</f>
        <v>0.33333333333333331</v>
      </c>
      <c r="K160" s="231"/>
      <c r="M160" s="2"/>
      <c r="N160" s="212" t="s">
        <v>356</v>
      </c>
      <c r="O160" s="213"/>
      <c r="P160" s="8"/>
      <c r="Q160" s="8"/>
      <c r="R160" s="66">
        <v>0</v>
      </c>
      <c r="S160" s="230">
        <f t="shared" si="15"/>
        <v>0</v>
      </c>
      <c r="T160" s="231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44" t="s">
        <v>329</v>
      </c>
      <c r="F161" s="245"/>
      <c r="G161" s="145"/>
      <c r="H161" s="8"/>
      <c r="I161" s="66">
        <v>20000000</v>
      </c>
      <c r="J161" s="230">
        <f>IF(($F$130=0),0,(I161/$F$130))</f>
        <v>0.33333333333333331</v>
      </c>
      <c r="K161" s="231"/>
      <c r="M161" s="2"/>
      <c r="N161" s="212" t="s">
        <v>357</v>
      </c>
      <c r="O161" s="213"/>
      <c r="P161" s="8"/>
      <c r="Q161" s="8"/>
      <c r="R161" s="66">
        <v>0</v>
      </c>
      <c r="S161" s="230">
        <f t="shared" si="15"/>
        <v>0</v>
      </c>
      <c r="T161" s="231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44" t="s">
        <v>330</v>
      </c>
      <c r="F162" s="245"/>
      <c r="G162" s="145"/>
      <c r="H162" s="8"/>
      <c r="I162" s="66">
        <v>20000000</v>
      </c>
      <c r="J162" s="230">
        <f t="shared" ref="J162:J166" si="16">IF(($F$130=0),0,(I162/$F$130))</f>
        <v>0.33333333333333331</v>
      </c>
      <c r="K162" s="231"/>
      <c r="M162" s="2"/>
      <c r="N162" s="212" t="s">
        <v>358</v>
      </c>
      <c r="O162" s="213"/>
      <c r="P162" s="8"/>
      <c r="Q162" s="8"/>
      <c r="R162" s="66">
        <v>0</v>
      </c>
      <c r="S162" s="230">
        <f t="shared" si="15"/>
        <v>0</v>
      </c>
      <c r="T162" s="231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44" t="s">
        <v>331</v>
      </c>
      <c r="F163" s="245"/>
      <c r="G163" s="145"/>
      <c r="H163" s="8"/>
      <c r="I163" s="66">
        <v>20000000</v>
      </c>
      <c r="J163" s="230">
        <f t="shared" si="16"/>
        <v>0.33333333333333331</v>
      </c>
      <c r="K163" s="231"/>
      <c r="M163" s="2"/>
      <c r="N163" s="212" t="s">
        <v>359</v>
      </c>
      <c r="O163" s="213"/>
      <c r="P163" s="8"/>
      <c r="Q163" s="8"/>
      <c r="R163" s="66">
        <v>0</v>
      </c>
      <c r="S163" s="230">
        <f t="shared" si="15"/>
        <v>0</v>
      </c>
      <c r="T163" s="231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44" t="s">
        <v>332</v>
      </c>
      <c r="F164" s="245"/>
      <c r="G164" s="145"/>
      <c r="H164" s="8"/>
      <c r="I164" s="66">
        <v>20000000</v>
      </c>
      <c r="J164" s="230">
        <f t="shared" si="16"/>
        <v>0.33333333333333331</v>
      </c>
      <c r="K164" s="231"/>
      <c r="M164" s="2"/>
      <c r="N164" s="212" t="s">
        <v>360</v>
      </c>
      <c r="O164" s="213"/>
      <c r="P164" s="8"/>
      <c r="Q164" s="8"/>
      <c r="R164" s="66">
        <v>0</v>
      </c>
      <c r="S164" s="230">
        <f t="shared" si="15"/>
        <v>0</v>
      </c>
      <c r="T164" s="231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44" t="s">
        <v>333</v>
      </c>
      <c r="F165" s="245"/>
      <c r="G165" s="145"/>
      <c r="H165" s="8"/>
      <c r="I165" s="66">
        <v>20000000</v>
      </c>
      <c r="J165" s="230">
        <f t="shared" si="16"/>
        <v>0.33333333333333331</v>
      </c>
      <c r="K165" s="231"/>
      <c r="M165" s="2"/>
      <c r="N165" s="212" t="s">
        <v>361</v>
      </c>
      <c r="O165" s="213"/>
      <c r="P165" s="8"/>
      <c r="Q165" s="8"/>
      <c r="R165" s="66">
        <v>0</v>
      </c>
      <c r="S165" s="230">
        <f t="shared" si="15"/>
        <v>0</v>
      </c>
      <c r="T165" s="231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44" t="s">
        <v>334</v>
      </c>
      <c r="F166" s="245"/>
      <c r="G166" s="145"/>
      <c r="H166" s="8"/>
      <c r="I166" s="66">
        <v>20000000</v>
      </c>
      <c r="J166" s="230">
        <f t="shared" si="16"/>
        <v>0.33333333333333331</v>
      </c>
      <c r="K166" s="231"/>
      <c r="M166" s="2"/>
      <c r="N166" s="212" t="s">
        <v>362</v>
      </c>
      <c r="O166" s="213"/>
      <c r="P166" s="8"/>
      <c r="Q166" s="8"/>
      <c r="R166" s="66">
        <v>0</v>
      </c>
      <c r="S166" s="230">
        <f t="shared" si="15"/>
        <v>0</v>
      </c>
      <c r="T166" s="231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38" t="s">
        <v>205</v>
      </c>
      <c r="F167" s="239"/>
      <c r="G167" s="23"/>
      <c r="H167" s="23"/>
      <c r="I167" s="70">
        <f>I155+I159</f>
        <v>200000000</v>
      </c>
      <c r="J167" s="240">
        <f>J155+J159</f>
        <v>3.333333333333333</v>
      </c>
      <c r="K167" s="241"/>
      <c r="M167" s="2"/>
      <c r="N167" s="238" t="s">
        <v>30</v>
      </c>
      <c r="O167" s="239"/>
      <c r="P167" s="23"/>
      <c r="Q167" s="23"/>
      <c r="R167" s="70">
        <f>R155+R159</f>
        <v>15000000000</v>
      </c>
      <c r="S167" s="240">
        <f>S155+S159</f>
        <v>250</v>
      </c>
      <c r="T167" s="241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35">
        <v>5</v>
      </c>
      <c r="K171" s="236"/>
      <c r="M171" s="2"/>
      <c r="N171" s="32" t="s">
        <v>163</v>
      </c>
      <c r="O171" s="33"/>
      <c r="P171" s="33"/>
      <c r="Q171" s="33"/>
      <c r="R171" s="33"/>
      <c r="S171" s="235">
        <v>5</v>
      </c>
      <c r="T171" s="236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14" t="s">
        <v>263</v>
      </c>
      <c r="F193" s="213"/>
      <c r="G193" s="213"/>
      <c r="H193" s="213"/>
      <c r="I193" s="213"/>
      <c r="J193" s="213"/>
      <c r="K193" s="107">
        <v>5</v>
      </c>
      <c r="M193" s="2"/>
      <c r="N193" s="234" t="s">
        <v>159</v>
      </c>
      <c r="O193" s="233"/>
      <c r="P193" s="233"/>
      <c r="Q193" s="233"/>
      <c r="R193" s="233"/>
      <c r="S193" s="233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14" t="s">
        <v>264</v>
      </c>
      <c r="F194" s="213"/>
      <c r="G194" s="213"/>
      <c r="H194" s="213"/>
      <c r="I194" s="213"/>
      <c r="J194" s="213"/>
      <c r="K194" s="107">
        <v>5</v>
      </c>
      <c r="M194" s="2"/>
      <c r="N194" s="232" t="s">
        <v>160</v>
      </c>
      <c r="O194" s="233"/>
      <c r="P194" s="233"/>
      <c r="Q194" s="233"/>
      <c r="R194" s="233"/>
      <c r="S194" s="233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14" t="s">
        <v>265</v>
      </c>
      <c r="F195" s="213"/>
      <c r="G195" s="213"/>
      <c r="H195" s="213"/>
      <c r="I195" s="213"/>
      <c r="J195" s="213"/>
      <c r="K195" s="107">
        <v>5</v>
      </c>
      <c r="M195" s="2"/>
      <c r="N195" s="234" t="s">
        <v>146</v>
      </c>
      <c r="O195" s="237"/>
      <c r="P195" s="237"/>
      <c r="Q195" s="237"/>
      <c r="R195" s="237"/>
      <c r="S195" s="237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14" t="s">
        <v>263</v>
      </c>
      <c r="F198" s="213"/>
      <c r="G198" s="213"/>
      <c r="H198" s="213"/>
      <c r="I198" s="213"/>
      <c r="J198" s="213"/>
      <c r="K198" s="107">
        <v>5</v>
      </c>
      <c r="M198" s="2"/>
      <c r="N198" s="234" t="s">
        <v>159</v>
      </c>
      <c r="O198" s="233"/>
      <c r="P198" s="233"/>
      <c r="Q198" s="233"/>
      <c r="R198" s="233"/>
      <c r="S198" s="233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14" t="s">
        <v>264</v>
      </c>
      <c r="F199" s="213"/>
      <c r="G199" s="213"/>
      <c r="H199" s="213"/>
      <c r="I199" s="213"/>
      <c r="J199" s="213"/>
      <c r="K199" s="107">
        <v>5</v>
      </c>
      <c r="M199" s="2"/>
      <c r="N199" s="232" t="s">
        <v>160</v>
      </c>
      <c r="O199" s="233"/>
      <c r="P199" s="233"/>
      <c r="Q199" s="233"/>
      <c r="R199" s="233"/>
      <c r="S199" s="233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14" t="s">
        <v>263</v>
      </c>
      <c r="F202" s="213"/>
      <c r="G202" s="213"/>
      <c r="H202" s="213"/>
      <c r="I202" s="213"/>
      <c r="J202" s="213"/>
      <c r="K202" s="107">
        <v>5</v>
      </c>
      <c r="M202" s="2"/>
      <c r="N202" s="234" t="s">
        <v>159</v>
      </c>
      <c r="O202" s="233"/>
      <c r="P202" s="233"/>
      <c r="Q202" s="233"/>
      <c r="R202" s="233"/>
      <c r="S202" s="233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14" t="s">
        <v>264</v>
      </c>
      <c r="F203" s="213"/>
      <c r="G203" s="213"/>
      <c r="H203" s="213"/>
      <c r="I203" s="213"/>
      <c r="J203" s="213"/>
      <c r="K203" s="107">
        <v>5</v>
      </c>
      <c r="M203" s="2"/>
      <c r="N203" s="232" t="s">
        <v>160</v>
      </c>
      <c r="O203" s="233"/>
      <c r="P203" s="233"/>
      <c r="Q203" s="233"/>
      <c r="R203" s="233"/>
      <c r="S203" s="233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S144:T144"/>
    <mergeCell ref="S145:T145"/>
    <mergeCell ref="S146:T146"/>
    <mergeCell ref="S147:T147"/>
    <mergeCell ref="S148:T148"/>
    <mergeCell ref="S139:T139"/>
    <mergeCell ref="S140:T140"/>
    <mergeCell ref="S141:T141"/>
    <mergeCell ref="S142:T142"/>
    <mergeCell ref="S143:T143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E155:G155"/>
    <mergeCell ref="J155:K155"/>
    <mergeCell ref="E156:G156"/>
    <mergeCell ref="J156:K156"/>
    <mergeCell ref="E157:F157"/>
    <mergeCell ref="J157:K157"/>
    <mergeCell ref="J158:K158"/>
    <mergeCell ref="E159:F159"/>
    <mergeCell ref="J159:K159"/>
    <mergeCell ref="E160:F160"/>
    <mergeCell ref="J160:K160"/>
    <mergeCell ref="E161:F161"/>
    <mergeCell ref="J161:K161"/>
    <mergeCell ref="E162:F162"/>
    <mergeCell ref="J162:K162"/>
    <mergeCell ref="E163:F163"/>
    <mergeCell ref="J163:K163"/>
    <mergeCell ref="E164:F164"/>
    <mergeCell ref="J164:K164"/>
    <mergeCell ref="E165:F165"/>
    <mergeCell ref="J165:K165"/>
    <mergeCell ref="E166:F166"/>
    <mergeCell ref="J166:K166"/>
    <mergeCell ref="E167:F167"/>
    <mergeCell ref="J167:K167"/>
    <mergeCell ref="J171:K171"/>
    <mergeCell ref="E193:J193"/>
    <mergeCell ref="E194:J194"/>
    <mergeCell ref="E195:J195"/>
    <mergeCell ref="E198:J198"/>
    <mergeCell ref="E199:J199"/>
    <mergeCell ref="E202:J202"/>
    <mergeCell ref="E203:J203"/>
    <mergeCell ref="J146:K146"/>
    <mergeCell ref="J147:K147"/>
    <mergeCell ref="J148:K148"/>
    <mergeCell ref="S149:T149"/>
    <mergeCell ref="J149:K149"/>
    <mergeCell ref="S150:T150"/>
    <mergeCell ref="N154:O154"/>
    <mergeCell ref="S154:T154"/>
    <mergeCell ref="N155:O155"/>
    <mergeCell ref="S155:T155"/>
    <mergeCell ref="N156:O156"/>
    <mergeCell ref="S156:T156"/>
    <mergeCell ref="N157:O157"/>
    <mergeCell ref="S157:T157"/>
    <mergeCell ref="S158:T158"/>
    <mergeCell ref="N159:O159"/>
    <mergeCell ref="S159:T159"/>
    <mergeCell ref="N160:O160"/>
    <mergeCell ref="S160:T160"/>
    <mergeCell ref="N161:O161"/>
    <mergeCell ref="S161:T161"/>
    <mergeCell ref="N162:O162"/>
    <mergeCell ref="S162:T162"/>
    <mergeCell ref="N163:O163"/>
    <mergeCell ref="S163:T163"/>
    <mergeCell ref="N164:O164"/>
    <mergeCell ref="S164:T164"/>
    <mergeCell ref="N165:O165"/>
    <mergeCell ref="S165:T165"/>
    <mergeCell ref="N166:O166"/>
    <mergeCell ref="S166:T166"/>
    <mergeCell ref="N167:O167"/>
    <mergeCell ref="S167:T167"/>
    <mergeCell ref="N199:S199"/>
    <mergeCell ref="N202:S202"/>
    <mergeCell ref="N203:S203"/>
    <mergeCell ref="S171:T171"/>
    <mergeCell ref="N193:S193"/>
    <mergeCell ref="N194:S194"/>
    <mergeCell ref="N195:S195"/>
    <mergeCell ref="N198:S1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2018-04-11T11:30:07Z</cp:lastPrinted>
  <dcterms:created xsi:type="dcterms:W3CDTF">2013-10-29T11:27:30Z</dcterms:created>
  <dcterms:modified xsi:type="dcterms:W3CDTF">2018-10-29T07:58:14Z</dcterms:modified>
</cp:coreProperties>
</file>