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9-06\xlsx_1\"/>
    </mc:Choice>
  </mc:AlternateContent>
  <xr:revisionPtr revIDLastSave="0" documentId="8_{D92F8603-2043-4AAE-8E09-FB75923E9683}" xr6:coauthVersionLast="40" xr6:coauthVersionMax="40" xr10:uidLastSave="{00000000-0000-0000-0000-000000000000}"/>
  <bookViews>
    <workbookView xWindow="0" yWindow="0" windowWidth="25200" windowHeight="12465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2">Ersatzdeckung!$A$1:$E$63</definedName>
    <definedName name="_xlnm.Print_Area" localSheetId="0">Overview!$A$1:$E$33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4" i="2" l="1"/>
  <c r="F93" i="2"/>
  <c r="F90" i="2"/>
  <c r="C55" i="3" l="1"/>
  <c r="C26" i="3"/>
  <c r="C23" i="3"/>
  <c r="D18" i="3" s="1"/>
  <c r="D15" i="3"/>
  <c r="C15" i="3"/>
  <c r="D8" i="3"/>
  <c r="D9" i="3" s="1"/>
  <c r="H28" i="2"/>
  <c r="D28" i="2"/>
  <c r="D9" i="2"/>
  <c r="D6" i="2"/>
  <c r="C9" i="2"/>
  <c r="C6" i="2"/>
  <c r="D19" i="3" l="1"/>
  <c r="D21" i="3"/>
  <c r="D20" i="3"/>
  <c r="D22" i="3"/>
  <c r="C14" i="2"/>
  <c r="D14" i="2"/>
  <c r="C61" i="3"/>
  <c r="D33" i="3" s="1"/>
  <c r="D43" i="3"/>
  <c r="D59" i="3"/>
  <c r="D37" i="3"/>
  <c r="H149" i="2"/>
  <c r="D149" i="2"/>
  <c r="D23" i="3" l="1"/>
  <c r="D27" i="3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H122" i="2" s="1"/>
  <c r="C123" i="2"/>
  <c r="D122" i="2" s="1"/>
  <c r="C107" i="2"/>
  <c r="D105" i="2" s="1"/>
  <c r="F95" i="2"/>
  <c r="C83" i="2"/>
  <c r="F82" i="2" s="1"/>
  <c r="C34" i="2"/>
  <c r="C69" i="2"/>
  <c r="G82" i="2" s="1"/>
  <c r="D26" i="3" l="1"/>
  <c r="H118" i="2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2" i="1"/>
  <c r="C21" i="1"/>
  <c r="C20" i="1"/>
  <c r="C13" i="1"/>
  <c r="C12" i="1"/>
  <c r="G103" i="5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<sst xmlns="http://schemas.openxmlformats.org/spreadsheetml/2006/main" count="635" uniqueCount="320">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</sst>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619381285.37</c:v>
                </c:pt>
                <c:pt idx="1">
                  <c:v>988764426.99000001</c:v>
                </c:pt>
                <c:pt idx="2">
                  <c:v>315464694.91000003</c:v>
                </c:pt>
                <c:pt idx="3">
                  <c:v>1254017990.0341918</c:v>
                </c:pt>
                <c:pt idx="4">
                  <c:v>1242800211.3013823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779138825.12167931</c:v>
                </c:pt>
                <c:pt idx="1">
                  <c:v>284852970.07408822</c:v>
                </c:pt>
                <c:pt idx="2">
                  <c:v>247355016.16</c:v>
                </c:pt>
                <c:pt idx="3">
                  <c:v>369173927.58999997</c:v>
                </c:pt>
                <c:pt idx="4">
                  <c:v>659874174.9520036</c:v>
                </c:pt>
                <c:pt idx="5">
                  <c:v>2080033694.7078028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103743757.42</c:v>
                </c:pt>
                <c:pt idx="1">
                  <c:v>211534761.19</c:v>
                </c:pt>
                <c:pt idx="2">
                  <c:v>308679864.80702835</c:v>
                </c:pt>
                <c:pt idx="3">
                  <c:v>656870724.6041919</c:v>
                </c:pt>
                <c:pt idx="4">
                  <c:v>3139599500.5843539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592537145.42998648</c:v>
                </c:pt>
                <c:pt idx="1">
                  <c:v>1118549158.01</c:v>
                </c:pt>
                <c:pt idx="2">
                  <c:v>573150000</c:v>
                </c:pt>
                <c:pt idx="3">
                  <c:v>985000000</c:v>
                </c:pt>
                <c:pt idx="4">
                  <c:v>568000502.14999998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619381285.37</c:v>
                </c:pt>
                <c:pt idx="1">
                  <c:v>988764426.99000001</c:v>
                </c:pt>
                <c:pt idx="2">
                  <c:v>315464694.91000003</c:v>
                </c:pt>
                <c:pt idx="3">
                  <c:v>1254017990.0341918</c:v>
                </c:pt>
                <c:pt idx="4">
                  <c:v>1242800211.3013823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779138825.12167931</c:v>
                </c:pt>
                <c:pt idx="1">
                  <c:v>284852970.07408822</c:v>
                </c:pt>
                <c:pt idx="2">
                  <c:v>247355016.16</c:v>
                </c:pt>
                <c:pt idx="3">
                  <c:v>369173927.58999997</c:v>
                </c:pt>
                <c:pt idx="4">
                  <c:v>659874174.9520036</c:v>
                </c:pt>
                <c:pt idx="5">
                  <c:v>2080033694.7078028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103743757.42</c:v>
                </c:pt>
                <c:pt idx="1">
                  <c:v>211534761.19</c:v>
                </c:pt>
                <c:pt idx="2">
                  <c:v>308679864.80702835</c:v>
                </c:pt>
                <c:pt idx="3">
                  <c:v>656870724.6041919</c:v>
                </c:pt>
                <c:pt idx="4">
                  <c:v>3139599500.5843539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592537145.42998648</c:v>
                </c:pt>
                <c:pt idx="1">
                  <c:v>1118549158.01</c:v>
                </c:pt>
                <c:pt idx="2">
                  <c:v>573150000</c:v>
                </c:pt>
                <c:pt idx="3">
                  <c:v>985000000</c:v>
                </c:pt>
                <c:pt idx="4">
                  <c:v>568000502.14999998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Funding/Deckungsst&#246;cke/Reporting%20f&#252;r%20Pfandbrief-Forum%20und%20Treuh&#228;nder/2018-09-30/Pfandbriefforumsreport%20Pfandbrief%20&#214;ffentlicher%20Pfandbrief%202018-09-30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4363944450.3538666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H29" sqref="H29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04" t="s">
        <v>315</v>
      </c>
      <c r="D1" s="204"/>
      <c r="E1" s="204"/>
      <c r="F1" s="161"/>
    </row>
    <row r="2" spans="1:6" x14ac:dyDescent="0.25">
      <c r="B2" s="80" t="str">
        <f>INDEX(Language!D2:M33,2,IF(A1="EN",1,6))</f>
        <v>Report Date</v>
      </c>
      <c r="D2" s="86">
        <v>43646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96">
        <v>0.117114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99">
        <v>3837236805.5899863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99">
        <v>4501283808.6055737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25">
      <c r="B17" s="94" t="str">
        <f>INDEX(Language!D2:M33,17,IF(A1="EN",1,6))</f>
        <v>Number of loans</v>
      </c>
      <c r="C17" s="95"/>
      <c r="D17" s="98">
        <v>49653</v>
      </c>
      <c r="E17" s="94"/>
      <c r="F17" s="151"/>
    </row>
    <row r="18" spans="2:6" ht="16.5" customHeight="1" x14ac:dyDescent="0.25">
      <c r="B18" s="94" t="str">
        <f>INDEX(Language!D2:M33,18,IF(A1="EN",1,6))</f>
        <v>Number of borrowers</v>
      </c>
      <c r="C18" s="95"/>
      <c r="D18" s="98">
        <v>44705</v>
      </c>
      <c r="E18" s="94"/>
      <c r="F18" s="151"/>
    </row>
    <row r="19" spans="2:6" ht="16.5" customHeight="1" x14ac:dyDescent="0.25">
      <c r="B19" s="94" t="str">
        <f>INDEX(Language!D2:M33,19,IF(A1="EN",1,6))</f>
        <v>Number of garantors</v>
      </c>
      <c r="C19" s="95"/>
      <c r="D19" s="98">
        <v>105</v>
      </c>
      <c r="E19" s="94"/>
      <c r="F19" s="151"/>
    </row>
    <row r="20" spans="2:6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99">
        <v>100688.59878325855</v>
      </c>
      <c r="E20" s="94"/>
      <c r="F20" s="165"/>
    </row>
    <row r="21" spans="2:6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99">
        <v>90654.820627264693</v>
      </c>
      <c r="E21" s="94"/>
      <c r="F21" s="165"/>
    </row>
    <row r="22" spans="2:6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96">
        <v>0</v>
      </c>
      <c r="E22" s="94"/>
      <c r="F22" s="163"/>
    </row>
    <row r="23" spans="2:6" ht="16.5" customHeight="1" x14ac:dyDescent="0.25">
      <c r="B23" s="94" t="str">
        <f>INDEX(Language!D2:M33,23,IF(A1="EN",1,6))</f>
        <v>Share of 10 largest loans (% of primary cover pool)</v>
      </c>
      <c r="C23" s="95"/>
      <c r="D23" s="96">
        <v>0.17894711147241635</v>
      </c>
      <c r="E23" s="94"/>
      <c r="F23" s="163"/>
    </row>
    <row r="24" spans="2:6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96">
        <v>0.54084283418209456</v>
      </c>
      <c r="E24" s="94"/>
      <c r="F24" s="163"/>
    </row>
    <row r="25" spans="2:6" ht="16.5" customHeight="1" x14ac:dyDescent="0.25">
      <c r="B25" s="94" t="str">
        <f>INDEX(Language!D2:M33,25,IF(A1="EN",1,6))</f>
        <v>Share of bullet loans (% of primary cover pool)</v>
      </c>
      <c r="C25" s="95"/>
      <c r="D25" s="96">
        <v>7.6504602917425099E-2</v>
      </c>
      <c r="E25" s="94"/>
      <c r="F25" s="163"/>
    </row>
    <row r="26" spans="2:6" ht="16.5" customHeight="1" x14ac:dyDescent="0.25">
      <c r="B26" s="100" t="str">
        <f>INDEX(Language!D2:M33,26,IF(A1="EN",1,6))</f>
        <v>Share of loans in foreign currency (% of primary cover pool)</v>
      </c>
      <c r="C26" s="95"/>
      <c r="D26" s="96">
        <v>1.8764655324167753E-2</v>
      </c>
      <c r="E26" s="94"/>
      <c r="F26" s="163"/>
    </row>
    <row r="27" spans="2:6" ht="16.5" customHeight="1" x14ac:dyDescent="0.25">
      <c r="B27" s="94" t="str">
        <f>INDEX(Language!D2:M33,27,IF(A1="EN",1,6))</f>
        <v>Share of issues in foreign currency (% of primary cover pool)</v>
      </c>
      <c r="C27" s="95"/>
      <c r="D27" s="96">
        <v>1.7600463263460868E-2</v>
      </c>
      <c r="E27" s="94"/>
      <c r="F27" s="163"/>
    </row>
    <row r="28" spans="2:6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96">
        <v>0.45681490782338086</v>
      </c>
      <c r="E28" s="94"/>
      <c r="F28" s="163"/>
    </row>
    <row r="29" spans="2:6" ht="16.5" customHeight="1" x14ac:dyDescent="0.25">
      <c r="B29" s="94" t="str">
        <f>INDEX(Language!D2:M33,29,IF(A1="EN",1,6))</f>
        <v>Nominal over-collateralisation (total cover pool / outstanding issues in %)</v>
      </c>
      <c r="C29" s="95"/>
      <c r="D29" s="96">
        <v>0.1730534331496616</v>
      </c>
      <c r="E29" s="160"/>
      <c r="F29" s="163"/>
    </row>
    <row r="30" spans="2:6" ht="16.5" customHeight="1" x14ac:dyDescent="0.25">
      <c r="B30" s="94" t="str">
        <f>INDEX(Language!D2:M33,30,IF(A1="EN",1,6))</f>
        <v>Present value over-collateralisation (PV total cover pool / PV outstanding issues in %)</v>
      </c>
      <c r="C30" s="95"/>
      <c r="D30" s="96">
        <v>0.31232268993035528</v>
      </c>
      <c r="E30" s="94"/>
      <c r="F30" s="163"/>
    </row>
    <row r="31" spans="2:6" ht="16.5" customHeight="1" x14ac:dyDescent="0.25">
      <c r="B31" s="94" t="str">
        <f>INDEX(Language!D2:M33,31,IF(A1="EN",1,6))</f>
        <v>Number of issues</v>
      </c>
      <c r="C31" s="95"/>
      <c r="D31" s="98">
        <v>61</v>
      </c>
      <c r="E31" s="94"/>
      <c r="F31" s="151"/>
    </row>
    <row r="32" spans="2:6" ht="16.5" customHeight="1" x14ac:dyDescent="0.25">
      <c r="B32" s="94" t="str">
        <f>INDEX(Language!D2:M33,32,IF(A1="EN",1,6))</f>
        <v>Average issue size</v>
      </c>
      <c r="C32" s="95" t="str">
        <f>INDEX(Language!D2:M33,32,IF(A1="EN",2,7))</f>
        <v>in mn</v>
      </c>
      <c r="D32" s="182">
        <v>62905521.403114527</v>
      </c>
      <c r="E32" s="94"/>
      <c r="F32" s="166"/>
    </row>
  </sheetData>
  <mergeCells count="1">
    <mergeCell ref="C1:E1"/>
  </mergeCells>
  <dataValidations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="115" zoomScaleNormal="115" zoomScalePageLayoutView="85" workbookViewId="0">
      <selection activeCell="J93" sqref="J93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5" t="s">
        <v>26</v>
      </c>
      <c r="C6" s="103">
        <f>SUM(C7:C8)</f>
        <v>1063991795.1957675</v>
      </c>
      <c r="D6" s="176">
        <f>SUM(D7:D8)</f>
        <v>48020</v>
      </c>
      <c r="I6" s="5"/>
    </row>
    <row r="7" spans="1:9" ht="15" x14ac:dyDescent="0.25">
      <c r="A7" s="57" t="s">
        <v>128</v>
      </c>
      <c r="B7" s="175" t="s">
        <v>123</v>
      </c>
      <c r="C7" s="103">
        <v>779138825.12167931</v>
      </c>
      <c r="D7" s="176">
        <v>46522</v>
      </c>
      <c r="I7" s="5"/>
    </row>
    <row r="8" spans="1:9" ht="15" x14ac:dyDescent="0.25">
      <c r="A8" s="57" t="s">
        <v>130</v>
      </c>
      <c r="B8" s="175" t="s">
        <v>124</v>
      </c>
      <c r="C8" s="103">
        <v>284852970.07408822</v>
      </c>
      <c r="D8" s="176">
        <v>1498</v>
      </c>
      <c r="I8" s="5"/>
    </row>
    <row r="9" spans="1:9" ht="15" x14ac:dyDescent="0.25">
      <c r="A9" s="57"/>
      <c r="B9" s="177" t="s">
        <v>27</v>
      </c>
      <c r="C9" s="103">
        <f>SUM(C10:C12)</f>
        <v>1276403118.7020035</v>
      </c>
      <c r="D9" s="176">
        <f>SUM(D10:D12)</f>
        <v>1522</v>
      </c>
      <c r="I9" s="5"/>
    </row>
    <row r="10" spans="1:9" ht="15" x14ac:dyDescent="0.25">
      <c r="A10" s="57" t="s">
        <v>131</v>
      </c>
      <c r="B10" s="177" t="s">
        <v>125</v>
      </c>
      <c r="C10" s="103">
        <v>247355016.16</v>
      </c>
      <c r="D10" s="176">
        <v>643</v>
      </c>
      <c r="I10" s="5"/>
    </row>
    <row r="11" spans="1:9" ht="15" x14ac:dyDescent="0.25">
      <c r="A11" s="57" t="s">
        <v>132</v>
      </c>
      <c r="B11" s="177" t="s">
        <v>126</v>
      </c>
      <c r="C11" s="103">
        <v>369173927.58999997</v>
      </c>
      <c r="D11" s="176">
        <v>536</v>
      </c>
      <c r="I11" s="5"/>
    </row>
    <row r="12" spans="1:9" ht="15" x14ac:dyDescent="0.25">
      <c r="A12" s="57" t="s">
        <v>133</v>
      </c>
      <c r="B12" s="177" t="s">
        <v>127</v>
      </c>
      <c r="C12" s="103">
        <v>659874174.9520036</v>
      </c>
      <c r="D12" s="176">
        <v>343</v>
      </c>
      <c r="I12" s="5"/>
    </row>
    <row r="13" spans="1:9" ht="15" x14ac:dyDescent="0.25">
      <c r="A13" s="57" t="s">
        <v>134</v>
      </c>
      <c r="B13" s="177" t="s">
        <v>29</v>
      </c>
      <c r="C13" s="103">
        <v>2080033694.7078028</v>
      </c>
      <c r="D13" s="176">
        <v>102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0">
        <f>C6+C9+C13</f>
        <v>4420428608.6055737</v>
      </c>
      <c r="D14" s="181">
        <f>D13+D9+D6</f>
        <v>49644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8"/>
      <c r="D23" s="158">
        <v>4337480789.3800001</v>
      </c>
      <c r="F23" s="7" t="str">
        <f>INDEX(Language!$D$2:$X$300,SUM(Language!AF23),IF(Overview!$A$1="EN",6,15))</f>
        <v>in EUR</v>
      </c>
      <c r="G23" s="8"/>
      <c r="H23" s="158">
        <v>3769699660.1599998</v>
      </c>
      <c r="I23" s="5"/>
    </row>
    <row r="24" spans="1:9" ht="15" x14ac:dyDescent="0.25">
      <c r="B24" s="102" t="s">
        <v>36</v>
      </c>
      <c r="C24" s="178"/>
      <c r="D24" s="158">
        <v>82947819.225574031</v>
      </c>
      <c r="F24" s="7" t="str">
        <f>INDEX(Language!$D$2:$X$300,SUM(Language!AF24),IF(Overview!$A$1="EN",6,15))</f>
        <v>in CHF</v>
      </c>
      <c r="G24" s="8"/>
      <c r="H24" s="158">
        <v>67537145.429986492</v>
      </c>
      <c r="I24" s="5"/>
    </row>
    <row r="25" spans="1:9" ht="15" x14ac:dyDescent="0.2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79">
        <f>SUM(D23:D27)</f>
        <v>4420428608.6055746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3837236805.5899863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4420428608.6055737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103">
        <v>4400428608.6055737</v>
      </c>
      <c r="D35" s="104">
        <f>IF(($C$69=0),0,(C35/$C$69))</f>
        <v>0.99547555185914227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4.5244481408577729E-3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4420428608.6055737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17" t="str">
        <f>INDEX(Language!$D$2:$X$300,SUM(Language!AG72),IF(Overview!$A$1="EN",7,16))</f>
        <v>Share in total</v>
      </c>
      <c r="H72" s="218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103"/>
      <c r="D73" s="30"/>
      <c r="E73" s="30"/>
      <c r="F73" s="185">
        <f>IF(($C$83=0),0,(C73/$C$83))</f>
        <v>0</v>
      </c>
      <c r="G73" s="209">
        <f>IF(($C$69=0),0,(C73/$C$69))</f>
        <v>0</v>
      </c>
      <c r="H73" s="210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103">
        <v>269688178.44</v>
      </c>
      <c r="D74" s="30"/>
      <c r="E74" s="30"/>
      <c r="F74" s="185">
        <f t="shared" ref="F74:F81" si="1">IF(($C$83=0),0,(C74/$C$83))</f>
        <v>6.1286797816147258E-2</v>
      </c>
      <c r="G74" s="209">
        <f t="shared" ref="G74:G81" si="2">IF(($C$69=0),0,(C74/$C$69))</f>
        <v>6.1009508877708868E-2</v>
      </c>
      <c r="H74" s="210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103">
        <v>3961387050.0005493</v>
      </c>
      <c r="D75" s="30"/>
      <c r="E75" s="30"/>
      <c r="F75" s="185">
        <f t="shared" si="1"/>
        <v>0.90022754652889381</v>
      </c>
      <c r="G75" s="209">
        <f t="shared" si="2"/>
        <v>0.89615451367965215</v>
      </c>
      <c r="H75" s="210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103">
        <v>58449634.020000003</v>
      </c>
      <c r="D76" s="30"/>
      <c r="E76" s="30"/>
      <c r="F76" s="185">
        <f t="shared" si="1"/>
        <v>1.3282713848758875E-2</v>
      </c>
      <c r="G76" s="209">
        <f t="shared" si="2"/>
        <v>1.3222616898780314E-2</v>
      </c>
      <c r="H76" s="210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103">
        <v>311749.81</v>
      </c>
      <c r="D77" s="30"/>
      <c r="E77" s="30"/>
      <c r="F77" s="185">
        <f t="shared" si="1"/>
        <v>7.0845328427857071E-5</v>
      </c>
      <c r="G77" s="209">
        <f t="shared" si="2"/>
        <v>7.0524792413363202E-5</v>
      </c>
      <c r="H77" s="210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103">
        <v>24899.42</v>
      </c>
      <c r="D78" s="30"/>
      <c r="E78" s="30"/>
      <c r="F78" s="185">
        <f t="shared" si="1"/>
        <v>5.6584078994728272E-6</v>
      </c>
      <c r="G78" s="209">
        <f t="shared" si="2"/>
        <v>5.6328067263718421E-6</v>
      </c>
      <c r="H78" s="210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103">
        <v>36114909.090000004</v>
      </c>
      <c r="D79" s="30"/>
      <c r="E79" s="30"/>
      <c r="F79" s="185">
        <f t="shared" si="1"/>
        <v>8.2071344185366182E-3</v>
      </c>
      <c r="G79" s="209">
        <f t="shared" si="2"/>
        <v>8.1700016644749001E-3</v>
      </c>
      <c r="H79" s="210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103">
        <v>42476750.25</v>
      </c>
      <c r="D80" s="30"/>
      <c r="E80" s="30"/>
      <c r="F80" s="185">
        <f t="shared" si="1"/>
        <v>9.6528665791626635E-3</v>
      </c>
      <c r="G80" s="209">
        <f t="shared" si="2"/>
        <v>9.6091926849146223E-3</v>
      </c>
      <c r="H80" s="210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103">
        <v>28169577.649999999</v>
      </c>
      <c r="D81" s="30"/>
      <c r="E81" s="30"/>
      <c r="F81" s="185">
        <f t="shared" si="1"/>
        <v>6.4015531566427326E-3</v>
      </c>
      <c r="G81" s="209">
        <f t="shared" si="2"/>
        <v>6.3725896613645583E-3</v>
      </c>
      <c r="H81" s="210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103">
        <v>3805859.9250247502</v>
      </c>
      <c r="D82" s="30"/>
      <c r="E82" s="30"/>
      <c r="F82" s="185">
        <f>IF(($C$83=0),0,(C82/$C$83))</f>
        <v>8.6488391553084807E-4</v>
      </c>
      <c r="G82" s="209">
        <f>IF(($C$69=0),0,(C82/$C$69))</f>
        <v>8.6097079310716671E-4</v>
      </c>
      <c r="H82" s="210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4400428608.6055737</v>
      </c>
      <c r="D83" s="183"/>
      <c r="E83" s="183"/>
      <c r="F83" s="184">
        <f>SUM(F73:F82)</f>
        <v>1</v>
      </c>
      <c r="G83" s="211">
        <f>SUM(G73:H82)</f>
        <v>0.99547555185914238</v>
      </c>
      <c r="H83" s="212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15" t="str">
        <f>INDEX(Language!$D$2:$X$300,SUM(Language!AG87),IF(Overview!$A$1="EN",7,16))</f>
        <v>%</v>
      </c>
      <c r="H87" s="216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103">
        <v>20000000</v>
      </c>
      <c r="G88" s="209">
        <f>IF(($F$95=0),0,(F88/$F$95))</f>
        <v>4.5244481408577729E-3</v>
      </c>
      <c r="H88" s="210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103">
        <v>1432188699.4400001</v>
      </c>
      <c r="G89" s="209">
        <f t="shared" ref="G89:G94" si="3">IF(($F$95=0),0,(F89/$F$95))</f>
        <v>0.32399317492694102</v>
      </c>
      <c r="H89" s="210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103">
        <f>410682802.727771+200000</f>
        <v>410882802.72777098</v>
      </c>
      <c r="G90" s="209">
        <f t="shared" si="3"/>
        <v>9.2950896645604728E-2</v>
      </c>
      <c r="H90" s="210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103"/>
      <c r="G91" s="209">
        <f t="shared" si="3"/>
        <v>0</v>
      </c>
      <c r="H91" s="210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103">
        <v>2247476292.9999909</v>
      </c>
      <c r="G92" s="209">
        <f t="shared" si="3"/>
        <v>0.50842949677428639</v>
      </c>
      <c r="H92" s="210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103">
        <f>208348595.813611+58957</f>
        <v>208407552.813611</v>
      </c>
      <c r="G93" s="209">
        <f t="shared" si="3"/>
        <v>4.7146458243413021E-2</v>
      </c>
      <c r="H93" s="210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103">
        <f>101732217.624201-258957</f>
        <v>101473260.624201</v>
      </c>
      <c r="G94" s="209">
        <f t="shared" si="3"/>
        <v>2.2955525268897124E-2</v>
      </c>
      <c r="H94" s="210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4420428608.6055737</v>
      </c>
      <c r="G95" s="211">
        <f>SUM(G88:H94)</f>
        <v>1.0000000000000002</v>
      </c>
      <c r="H95" s="212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13">
        <v>6.4258974459999996</v>
      </c>
      <c r="H99" s="214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103">
        <v>619381285.37</v>
      </c>
      <c r="D102" s="104">
        <f>IF(($C$107=0),0,(C102/$C$107))</f>
        <v>0.14011792525371969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103">
        <v>988764426.99000001</v>
      </c>
      <c r="D103" s="104">
        <f>IF(($C$107=0),0,(C103/$C$107))</f>
        <v>0.2236806686720603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103">
        <v>315464694.91000003</v>
      </c>
      <c r="D104" s="104">
        <f>IF(($C$107=0),0,(C104/$C$107))</f>
        <v>7.1365182619590697E-2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103">
        <v>1254017990.0341918</v>
      </c>
      <c r="D105" s="104">
        <f>IF(($C$107=0),0,(C105/$C$107))</f>
        <v>0.28368696818061995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103">
        <v>1242800211.3013823</v>
      </c>
      <c r="D106" s="104">
        <f>IF(($C$107=0),0,(C106/$C$107))</f>
        <v>0.28114925527400925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4420428608.6055746</v>
      </c>
      <c r="D107" s="172">
        <f>SUM(D102:D106)</f>
        <v>0.99999999999999989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07" t="str">
        <f>INDEX(Language!$D$2:$X$300,SUM(Language!AB112),IF(Overview!$A$1="EN",2,11))</f>
        <v>WA residual life (incl. contractural amortisation)</v>
      </c>
      <c r="C112" s="208"/>
      <c r="D112" s="208"/>
      <c r="E112" s="132"/>
      <c r="F112" s="132"/>
      <c r="G112" s="132"/>
      <c r="H112" s="114">
        <v>10.240372900000001</v>
      </c>
      <c r="I112" s="5"/>
    </row>
    <row r="113" spans="2:9" ht="15" x14ac:dyDescent="0.25">
      <c r="B113" s="205" t="str">
        <f>INDEX(Language!$D$2:$X$300,SUM(Language!AB113),IF(Overview!$A$1="EN",2,11))</f>
        <v>WA residual life (final legal maturity)</v>
      </c>
      <c r="C113" s="206"/>
      <c r="D113" s="206"/>
      <c r="E113" s="132"/>
      <c r="F113" s="132"/>
      <c r="G113" s="132"/>
      <c r="H113" s="114">
        <v>16.303884610000001</v>
      </c>
      <c r="I113" s="5"/>
    </row>
    <row r="114" spans="2:9" ht="15" customHeight="1" x14ac:dyDescent="0.25">
      <c r="B114" s="207" t="str">
        <f>INDEX(Language!$D$2:$X$300,SUM(Language!AB114),IF(Overview!$A$1="EN",2,11))</f>
        <v>WA residual life of issues (final legal maturity)</v>
      </c>
      <c r="C114" s="208"/>
      <c r="D114" s="208"/>
      <c r="E114" s="130"/>
      <c r="F114" s="130"/>
      <c r="G114" s="130"/>
      <c r="H114" s="114">
        <v>5.3767981599999999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103">
        <v>103743757.42</v>
      </c>
      <c r="D118" s="104">
        <f>IF(($C$123=0),0,(C118/$C$123))</f>
        <v>2.3469162519225938E-2</v>
      </c>
      <c r="F118" s="7" t="str">
        <f>INDEX(Language!$D$2:$X$300,SUM(Language!AF118),IF(Overview!$A$1="EN",6,15))</f>
        <v>≤ 12 months</v>
      </c>
      <c r="G118" s="103">
        <v>592537145.42998648</v>
      </c>
      <c r="H118" s="104">
        <f>IF(($G$123=0),0,(G118/$G$123))</f>
        <v>0.15441766444197394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103">
        <v>211534761.19</v>
      </c>
      <c r="D119" s="104">
        <f>IF(($C$123=0),0,(C119/$C$123))</f>
        <v>4.7853902849644421E-2</v>
      </c>
      <c r="F119" s="7" t="str">
        <f>INDEX(Language!$D$2:$X$300,SUM(Language!AF119),IF(Overview!$A$1="EN",6,15))</f>
        <v>12 - 36 months</v>
      </c>
      <c r="G119" s="103">
        <v>1118549158.01</v>
      </c>
      <c r="H119" s="104">
        <f>IF(($G$123=0),0,(G119/$G$123))</f>
        <v>0.29149860034192487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103">
        <v>308679864.80702835</v>
      </c>
      <c r="D120" s="104">
        <f>IF(($C$123=0),0,(C120/$C$123))</f>
        <v>6.9830302022319407E-2</v>
      </c>
      <c r="F120" s="7" t="str">
        <f>INDEX(Language!$D$2:$X$300,SUM(Language!AF120),IF(Overview!$A$1="EN",6,15))</f>
        <v>36 - 60 months</v>
      </c>
      <c r="G120" s="103">
        <v>573150000</v>
      </c>
      <c r="H120" s="104">
        <f>IF(($G$123=0),0,(G120/$G$123))</f>
        <v>0.14936529305802812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103">
        <v>656870724.6041919</v>
      </c>
      <c r="D121" s="104">
        <f>IF(($C$123=0),0,(C121/$C$123))</f>
        <v>0.14859887643596673</v>
      </c>
      <c r="F121" s="7" t="str">
        <f>INDEX(Language!$D$2:$X$300,SUM(Language!AF121),IF(Overview!$A$1="EN",6,15))</f>
        <v>60 - 120 months</v>
      </c>
      <c r="G121" s="103">
        <v>985000000</v>
      </c>
      <c r="H121" s="104">
        <f>IF(($G$123=0),0,(G121/$G$123))</f>
        <v>0.25669512983016263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103">
        <v>3139599500.5843539</v>
      </c>
      <c r="D122" s="104">
        <f>IF(($C$123=0),0,(C122/$C$123))</f>
        <v>0.71024775617284364</v>
      </c>
      <c r="F122" s="7" t="str">
        <f>INDEX(Language!$D$2:$X$300,SUM(Language!AF122),IF(Overview!$A$1="EN",6,15))</f>
        <v>≥ 120 months</v>
      </c>
      <c r="G122" s="103">
        <v>568000502.14999998</v>
      </c>
      <c r="H122" s="104">
        <f>IF(($G$123=0),0,(G122/$G$123))</f>
        <v>0.14802331232791047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4420428608.6055737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3837236805.5899863</v>
      </c>
      <c r="H123" s="172">
        <f>SUM(H118:H122)</f>
        <v>1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158">
        <v>2401110921.2255831</v>
      </c>
      <c r="F145" s="7" t="str">
        <f>INDEX(Language!$D$2:$X$300,SUM(Language!AF145),IF(Overview!$A$1="EN",6,15))</f>
        <v>Variable, fixed rate during the year</v>
      </c>
      <c r="G145" s="8"/>
      <c r="H145" s="158">
        <v>615187145.42998648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158">
        <v>1218976.73</v>
      </c>
      <c r="F146" s="7" t="str">
        <f>INDEX(Language!$D$2:$X$300,SUM(Language!AF146),IF(Overview!$A$1="EN",6,15))</f>
        <v>Fixed rate, 1 - 2 years</v>
      </c>
      <c r="G146" s="8"/>
      <c r="H146" s="158">
        <v>525000000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158">
        <v>169275044.46000001</v>
      </c>
      <c r="F147" s="7" t="str">
        <f>INDEX(Language!$D$2:$X$300,SUM(Language!AF147),IF(Overview!$A$1="EN",6,15))</f>
        <v>Fixed rate, 2 - 5 years</v>
      </c>
      <c r="G147" s="8"/>
      <c r="H147" s="158">
        <v>1164049158.01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158">
        <v>1848823666.189991</v>
      </c>
      <c r="F148" s="7" t="str">
        <f>INDEX(Language!$D$2:$X$300,SUM(Language!AF148),IF(Overview!$A$1="EN",6,15))</f>
        <v>Fixed rate, &gt; 5 years</v>
      </c>
      <c r="G148" s="8"/>
      <c r="H148" s="158">
        <v>1533000502.1500001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6">
        <f>SUM(D145:D148)</f>
        <v>4420428608.6055737</v>
      </c>
      <c r="F149" s="12" t="str">
        <f>INDEX(Language!$D$2:$X$300,SUM(Language!AF149),IF(Overview!$A$1="EN",6,15))</f>
        <v>Total</v>
      </c>
      <c r="G149" s="23"/>
      <c r="H149" s="186">
        <f>SUM(H145:H148)</f>
        <v>3837236805.5899863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C49" sqref="C49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89" t="str">
        <f>INDEX([2]Language!$D$2:$X$300,SUM([2]Language!AB207),IF([2]Overview!$A$1="EN",3,11))</f>
        <v>Overview</v>
      </c>
      <c r="C4" s="190"/>
      <c r="D4" s="189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200">
        <v>80855200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200">
        <v>69378400</v>
      </c>
    </row>
    <row r="8" spans="1:5" x14ac:dyDescent="0.25">
      <c r="B8" s="191" t="str">
        <f>INDEX([2]Language!$D$2:$X$300,SUM([2]Language!AB211),IF([2]Overview!$A$1="EN",3,11))</f>
        <v>Total</v>
      </c>
      <c r="C8" s="191"/>
      <c r="D8" s="187">
        <f>SUM(D5:D6)</f>
        <v>80855200</v>
      </c>
    </row>
    <row r="9" spans="1:5" x14ac:dyDescent="0.25">
      <c r="B9" s="191" t="str">
        <f>INDEX([2]Language!$D$2:$X$300,SUM([2]Language!AB212),IF([2]Overview!$A$1="EN",3,11))</f>
        <v>Additional cover pool (in % of total issues)</v>
      </c>
      <c r="C9" s="191"/>
      <c r="D9" s="188">
        <f>D8/[3]Primärdeckung!$C$14</f>
        <v>1.8528008529861913E-2</v>
      </c>
      <c r="E9" s="80"/>
    </row>
    <row r="11" spans="1:5" x14ac:dyDescent="0.25">
      <c r="B11" s="189" t="str">
        <f>INDEX([2]Language!$D$2:$X$300,SUM([2]Language!AB214),IF([2]Overview!$A$1="EN",3,11))</f>
        <v>Bonds by volume</v>
      </c>
      <c r="C11" s="190" t="str">
        <f>INDEX([2]Language!$D$2:$X$300,SUM([2]Language!AC214),IF([2]Overview!$A$1="EN",4,12))</f>
        <v>volume</v>
      </c>
      <c r="D11" s="192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64"/>
      <c r="D12" s="48"/>
    </row>
    <row r="13" spans="1:5" x14ac:dyDescent="0.25">
      <c r="B13" s="38" t="str">
        <f>INDEX([2]Language!$D$2:$X$300,SUM([2]Language!AB216),IF([2]Overview!$A$1="EN",3,11))</f>
        <v>1.000.000 - 5.000.000</v>
      </c>
      <c r="C13" s="201">
        <v>10000000</v>
      </c>
      <c r="D13" s="202">
        <v>3</v>
      </c>
    </row>
    <row r="14" spans="1:5" x14ac:dyDescent="0.25">
      <c r="B14" s="38" t="str">
        <f>INDEX([2]Language!$D$2:$X$300,SUM([2]Language!AB217),IF([2]Overview!$A$1="EN",3,11))</f>
        <v>≥ 5.000.000</v>
      </c>
      <c r="C14" s="201">
        <v>70855200</v>
      </c>
      <c r="D14" s="202">
        <v>7</v>
      </c>
    </row>
    <row r="15" spans="1:5" x14ac:dyDescent="0.25">
      <c r="B15" s="191" t="str">
        <f>INDEX([2]Language!$D$2:$X$300,SUM([2]Language!AB218),IF([2]Overview!$A$1="EN",3,11))</f>
        <v>Total</v>
      </c>
      <c r="C15" s="193">
        <f>SUM(C12:C14)</f>
        <v>80855200</v>
      </c>
      <c r="D15" s="194">
        <f>SUM(D12:D14)</f>
        <v>10</v>
      </c>
    </row>
    <row r="17" spans="2:4" x14ac:dyDescent="0.25">
      <c r="B17" s="189" t="str">
        <f>INDEX([2]Language!$D$2:$X$300,SUM([2]Language!AB220),IF([2]Overview!$A$1="EN",3,11))</f>
        <v>Additional cover pool by currencies</v>
      </c>
      <c r="C17" s="190" t="str">
        <f>INDEX([2]Language!$D$2:$X$300,SUM([2]Language!AC220),IF([2]Overview!$A$1="EN",4,12))</f>
        <v>volume</v>
      </c>
      <c r="D17" s="192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201">
        <v>80855200</v>
      </c>
      <c r="D18" s="196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6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6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6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6">
        <f>IF(($C$23=0),0,(C22/$C$23))</f>
        <v>0</v>
      </c>
    </row>
    <row r="23" spans="2:4" x14ac:dyDescent="0.25">
      <c r="B23" s="191" t="str">
        <f>INDEX([2]Language!$D$2:$X$300,SUM([2]Language!AB226),IF([2]Overview!$A$1="EN",3,11))</f>
        <v>Total</v>
      </c>
      <c r="C23" s="193">
        <f>SUM(C18:C22)</f>
        <v>80855200</v>
      </c>
      <c r="D23" s="195">
        <f>SUM(D18:D22)</f>
        <v>1</v>
      </c>
    </row>
    <row r="25" spans="2:4" x14ac:dyDescent="0.25">
      <c r="B25" s="189" t="str">
        <f>INDEX([2]Language!$D$2:$X$300,SUM([2]Language!AB228),IF([2]Overview!$A$1="EN",3,11))</f>
        <v>Regional distribution of additional cover pool</v>
      </c>
      <c r="C25" s="190" t="str">
        <f>INDEX([2]Language!$D$2:$X$300,SUM([2]Language!AC228),IF([2]Overview!$A$1="EN",4,12))</f>
        <v>Volumen</v>
      </c>
      <c r="D25" s="192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7">
        <f>SUM(C27:C54)</f>
        <v>80855200</v>
      </c>
      <c r="D26" s="198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203">
        <v>40855200</v>
      </c>
      <c r="D27" s="199">
        <f>IF(($C$61=0),0,(C27/$C$61))</f>
        <v>0.50528846629530322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199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199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199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199">
        <f t="shared" si="0"/>
        <v>0</v>
      </c>
    </row>
    <row r="32" spans="2:4" outlineLevel="1" x14ac:dyDescent="0.25">
      <c r="B32" s="38" t="str">
        <f>INDEX([2]Language!$D$2:$X$300,SUM([2]Language!AB235),IF([2]Overview!$A$1="EN",3,11))</f>
        <v>Czech Republic</v>
      </c>
      <c r="C32" s="203">
        <v>13000000</v>
      </c>
      <c r="D32" s="199">
        <f t="shared" si="0"/>
        <v>0.16078124845402647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199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199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199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199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199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199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199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199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199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199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199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199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199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/>
      <c r="D46" s="199">
        <f t="shared" si="0"/>
        <v>0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199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199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203">
        <v>27000000</v>
      </c>
      <c r="D49" s="199">
        <f t="shared" si="0"/>
        <v>0.33393028525067031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199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199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199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199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199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7">
        <f>SUM(C56:C58)</f>
        <v>0</v>
      </c>
      <c r="D55" s="198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198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198">
        <f>IF(($C$61=0),0,(C60/$C$61))</f>
        <v>0</v>
      </c>
    </row>
    <row r="61" spans="2:4" x14ac:dyDescent="0.25">
      <c r="B61" s="189" t="str">
        <f>INDEX([2]Language!$D$2:$X$300,SUM([2]Language!AB264),IF([2]Overview!$A$1="EN",3,11))</f>
        <v>Total</v>
      </c>
      <c r="C61" s="193">
        <f>C26+C55+C59+C60</f>
        <v>80855200</v>
      </c>
      <c r="D61" s="195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29" t="s">
        <v>169</v>
      </c>
      <c r="F2" s="229"/>
      <c r="G2" s="229"/>
      <c r="H2" s="84"/>
      <c r="I2" s="84" t="s">
        <v>0</v>
      </c>
      <c r="J2" s="204" t="s">
        <v>169</v>
      </c>
      <c r="K2" s="204"/>
      <c r="L2" s="204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17" t="s">
        <v>266</v>
      </c>
      <c r="K106" s="218"/>
      <c r="M106" s="2"/>
      <c r="N106" s="18"/>
      <c r="O106" s="19" t="s">
        <v>24</v>
      </c>
      <c r="P106" s="22"/>
      <c r="Q106" s="22"/>
      <c r="R106" s="19" t="s">
        <v>80</v>
      </c>
      <c r="S106" s="217" t="s">
        <v>117</v>
      </c>
      <c r="T106" s="218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25">
        <f>IF(($C$69=0),0,(F107/$C$69))</f>
        <v>0</v>
      </c>
      <c r="K107" s="226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25">
        <f>IF(($C$69=0),0,(O107/$C$69))</f>
        <v>0</v>
      </c>
      <c r="T107" s="226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25">
        <f t="shared" ref="J108:J114" si="5">IF(($C$69=0),0,(F108/$C$69))</f>
        <v>0</v>
      </c>
      <c r="K108" s="226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25">
        <f t="shared" ref="S108:S115" si="7">IF(($C$69=0),0,(O108/$C$69))</f>
        <v>0</v>
      </c>
      <c r="T108" s="226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25">
        <f t="shared" si="5"/>
        <v>0</v>
      </c>
      <c r="K109" s="226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25">
        <f t="shared" si="7"/>
        <v>0</v>
      </c>
      <c r="T109" s="226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25">
        <f t="shared" si="5"/>
        <v>0</v>
      </c>
      <c r="K110" s="226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25">
        <f t="shared" si="7"/>
        <v>0</v>
      </c>
      <c r="T110" s="226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25">
        <f t="shared" si="5"/>
        <v>0</v>
      </c>
      <c r="K111" s="226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25">
        <f t="shared" si="7"/>
        <v>0</v>
      </c>
      <c r="T111" s="226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25">
        <f t="shared" si="5"/>
        <v>0</v>
      </c>
      <c r="K112" s="226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25">
        <f t="shared" si="7"/>
        <v>0</v>
      </c>
      <c r="T112" s="226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25">
        <f t="shared" si="5"/>
        <v>0</v>
      </c>
      <c r="K113" s="226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25">
        <f t="shared" si="7"/>
        <v>0</v>
      </c>
      <c r="T113" s="226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25">
        <f t="shared" si="5"/>
        <v>0</v>
      </c>
      <c r="K114" s="226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25">
        <f t="shared" si="7"/>
        <v>0</v>
      </c>
      <c r="T114" s="226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25">
        <f>IF(($C$69=0),0,(F115/$C$69))</f>
        <v>0</v>
      </c>
      <c r="K115" s="226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25">
        <f t="shared" si="7"/>
        <v>0</v>
      </c>
      <c r="T115" s="226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25">
        <f>IF(($C$69=0),0,(F116/$C$69))</f>
        <v>0</v>
      </c>
      <c r="K116" s="226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25">
        <f>IF(($C$69=0),0,(O116/$C$69))</f>
        <v>0</v>
      </c>
      <c r="T116" s="226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21">
        <f>SUM(J107:K116)</f>
        <v>0</v>
      </c>
      <c r="K117" s="222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21">
        <f>SUM(S107:T116)</f>
        <v>0</v>
      </c>
      <c r="T117" s="222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19" t="s">
        <v>274</v>
      </c>
      <c r="F121" s="220"/>
      <c r="G121" s="119"/>
      <c r="H121" s="119"/>
      <c r="I121" s="119" t="s">
        <v>217</v>
      </c>
      <c r="J121" s="215" t="s">
        <v>41</v>
      </c>
      <c r="K121" s="216"/>
      <c r="M121" s="2"/>
      <c r="N121" s="219" t="s">
        <v>160</v>
      </c>
      <c r="O121" s="220"/>
      <c r="P121" s="127"/>
      <c r="Q121" s="127"/>
      <c r="R121" s="127" t="s">
        <v>24</v>
      </c>
      <c r="S121" s="215" t="s">
        <v>41</v>
      </c>
      <c r="T121" s="216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30" t="s">
        <v>275</v>
      </c>
      <c r="F122" s="231"/>
      <c r="G122" s="8"/>
      <c r="H122" s="8"/>
      <c r="I122" s="67">
        <v>20000000</v>
      </c>
      <c r="J122" s="225">
        <f>IF(($F$95=0),0,(I122/$F$95))</f>
        <v>1</v>
      </c>
      <c r="K122" s="226"/>
      <c r="M122" s="2"/>
      <c r="N122" s="223" t="s">
        <v>158</v>
      </c>
      <c r="O122" s="224"/>
      <c r="P122" s="8"/>
      <c r="Q122" s="8"/>
      <c r="R122" s="67">
        <v>9999999999</v>
      </c>
      <c r="S122" s="225">
        <f>IF(($F$95=0),0,(R122/$F$95))</f>
        <v>499.99999995000002</v>
      </c>
      <c r="T122" s="226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32" t="s">
        <v>276</v>
      </c>
      <c r="F123" s="233"/>
      <c r="G123" s="8"/>
      <c r="H123" s="8"/>
      <c r="I123" s="67">
        <v>20000000</v>
      </c>
      <c r="J123" s="225">
        <f>IF(($F$95=0),0,(I123/$F$95))</f>
        <v>1</v>
      </c>
      <c r="K123" s="226"/>
      <c r="M123" s="2"/>
      <c r="N123" s="223" t="s">
        <v>155</v>
      </c>
      <c r="O123" s="224"/>
      <c r="P123" s="8"/>
      <c r="Q123" s="8"/>
      <c r="R123" s="67">
        <v>0</v>
      </c>
      <c r="S123" s="225">
        <f t="shared" ref="S123:S128" si="8">IF(($F$95=0),0,(R123/$F$95))</f>
        <v>0</v>
      </c>
      <c r="T123" s="226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32" t="s">
        <v>277</v>
      </c>
      <c r="F124" s="233"/>
      <c r="G124" s="8"/>
      <c r="H124" s="8"/>
      <c r="I124" s="67">
        <v>20000000</v>
      </c>
      <c r="J124" s="225">
        <f t="shared" ref="J124:J128" si="9">IF(($F$95=0),0,(I124/$F$95))</f>
        <v>1</v>
      </c>
      <c r="K124" s="226"/>
      <c r="M124" s="2"/>
      <c r="N124" s="227" t="s">
        <v>154</v>
      </c>
      <c r="O124" s="228"/>
      <c r="P124" s="8"/>
      <c r="Q124" s="8"/>
      <c r="R124" s="67">
        <v>0</v>
      </c>
      <c r="S124" s="225">
        <f t="shared" si="8"/>
        <v>0</v>
      </c>
      <c r="T124" s="226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32" t="s">
        <v>278</v>
      </c>
      <c r="F125" s="233"/>
      <c r="G125" s="8"/>
      <c r="H125" s="8"/>
      <c r="I125" s="67">
        <v>20000000</v>
      </c>
      <c r="J125" s="225">
        <f t="shared" si="9"/>
        <v>1</v>
      </c>
      <c r="K125" s="226"/>
      <c r="M125" s="2"/>
      <c r="N125" s="223" t="s">
        <v>157</v>
      </c>
      <c r="O125" s="224"/>
      <c r="P125" s="8"/>
      <c r="Q125" s="8"/>
      <c r="R125" s="67">
        <v>9999999999</v>
      </c>
      <c r="S125" s="225">
        <f t="shared" si="8"/>
        <v>499.99999995000002</v>
      </c>
      <c r="T125" s="226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32" t="s">
        <v>279</v>
      </c>
      <c r="F126" s="233"/>
      <c r="G126" s="8"/>
      <c r="H126" s="8"/>
      <c r="I126" s="67">
        <v>20000000</v>
      </c>
      <c r="J126" s="225">
        <f t="shared" si="9"/>
        <v>1</v>
      </c>
      <c r="K126" s="226"/>
      <c r="M126" s="2"/>
      <c r="N126" s="223" t="s">
        <v>156</v>
      </c>
      <c r="O126" s="224"/>
      <c r="P126" s="8"/>
      <c r="Q126" s="8"/>
      <c r="R126" s="67">
        <v>559101638.75</v>
      </c>
      <c r="S126" s="225">
        <f t="shared" si="8"/>
        <v>27.955081937500001</v>
      </c>
      <c r="T126" s="226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32" t="s">
        <v>280</v>
      </c>
      <c r="F127" s="233"/>
      <c r="G127" s="8"/>
      <c r="H127" s="8"/>
      <c r="I127" s="67">
        <v>20000000</v>
      </c>
      <c r="J127" s="225">
        <f t="shared" si="9"/>
        <v>1</v>
      </c>
      <c r="K127" s="226"/>
      <c r="M127" s="2"/>
      <c r="N127" s="223" t="s">
        <v>159</v>
      </c>
      <c r="O127" s="224"/>
      <c r="P127" s="8"/>
      <c r="Q127" s="8"/>
      <c r="R127" s="67">
        <v>442366849.20999998</v>
      </c>
      <c r="S127" s="225">
        <f t="shared" si="8"/>
        <v>22.118342460499999</v>
      </c>
      <c r="T127" s="226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32" t="s">
        <v>281</v>
      </c>
      <c r="F128" s="233"/>
      <c r="G128" s="8"/>
      <c r="H128" s="8"/>
      <c r="I128" s="67">
        <v>20000000</v>
      </c>
      <c r="J128" s="225">
        <f t="shared" si="9"/>
        <v>1</v>
      </c>
      <c r="K128" s="226"/>
      <c r="M128" s="2"/>
      <c r="N128" s="223" t="s">
        <v>168</v>
      </c>
      <c r="O128" s="224"/>
      <c r="P128" s="8"/>
      <c r="Q128" s="8"/>
      <c r="R128" s="67">
        <v>2333333</v>
      </c>
      <c r="S128" s="225">
        <f t="shared" si="8"/>
        <v>0.11666665</v>
      </c>
      <c r="T128" s="226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19" t="s">
        <v>224</v>
      </c>
      <c r="F129" s="220"/>
      <c r="G129" s="23"/>
      <c r="H129" s="23"/>
      <c r="I129" s="72">
        <f>SUM(I122:I128)</f>
        <v>140000000</v>
      </c>
      <c r="J129" s="221">
        <f>SUM(J122:K128)</f>
        <v>7</v>
      </c>
      <c r="K129" s="222"/>
      <c r="M129" s="2"/>
      <c r="N129" s="219" t="s">
        <v>30</v>
      </c>
      <c r="O129" s="220"/>
      <c r="P129" s="23"/>
      <c r="Q129" s="23"/>
      <c r="R129" s="72">
        <f>SUM(R122:R128)</f>
        <v>21003801818.959999</v>
      </c>
      <c r="S129" s="221">
        <f>SUM(S122:T128)</f>
        <v>1050.190090948</v>
      </c>
      <c r="T129" s="222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13">
        <v>5</v>
      </c>
      <c r="K133" s="214"/>
      <c r="M133" s="2"/>
      <c r="N133" s="32" t="s">
        <v>177</v>
      </c>
      <c r="O133" s="33"/>
      <c r="P133" s="33"/>
      <c r="Q133" s="33"/>
      <c r="R133" s="33"/>
      <c r="S133" s="213">
        <v>5</v>
      </c>
      <c r="T133" s="214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27" t="s">
        <v>290</v>
      </c>
      <c r="F146" s="224"/>
      <c r="G146" s="224"/>
      <c r="H146" s="224"/>
      <c r="I146" s="224"/>
      <c r="J146" s="224"/>
      <c r="K146" s="133">
        <v>5</v>
      </c>
      <c r="M146" s="2"/>
      <c r="N146" s="207" t="s">
        <v>172</v>
      </c>
      <c r="O146" s="206"/>
      <c r="P146" s="206"/>
      <c r="Q146" s="206"/>
      <c r="R146" s="206"/>
      <c r="S146" s="206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27" t="s">
        <v>291</v>
      </c>
      <c r="F147" s="224"/>
      <c r="G147" s="224"/>
      <c r="H147" s="224"/>
      <c r="I147" s="224"/>
      <c r="J147" s="224"/>
      <c r="K147" s="133">
        <v>5</v>
      </c>
      <c r="M147" s="2"/>
      <c r="N147" s="205" t="s">
        <v>173</v>
      </c>
      <c r="O147" s="206"/>
      <c r="P147" s="206"/>
      <c r="Q147" s="206"/>
      <c r="R147" s="206"/>
      <c r="S147" s="206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27" t="s">
        <v>292</v>
      </c>
      <c r="F148" s="224"/>
      <c r="G148" s="224"/>
      <c r="H148" s="224"/>
      <c r="I148" s="224"/>
      <c r="J148" s="224"/>
      <c r="K148" s="133">
        <v>5</v>
      </c>
      <c r="M148" s="2"/>
      <c r="N148" s="207" t="s">
        <v>146</v>
      </c>
      <c r="O148" s="208"/>
      <c r="P148" s="208"/>
      <c r="Q148" s="208"/>
      <c r="R148" s="208"/>
      <c r="S148" s="208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E146:J146"/>
    <mergeCell ref="E147:J147"/>
    <mergeCell ref="E148:J148"/>
    <mergeCell ref="E128:F128"/>
    <mergeCell ref="J128:K128"/>
    <mergeCell ref="E129:F129"/>
    <mergeCell ref="J129:K129"/>
    <mergeCell ref="J133:K133"/>
    <mergeCell ref="E125:F125"/>
    <mergeCell ref="J125:K125"/>
    <mergeCell ref="E126:F126"/>
    <mergeCell ref="J126:K126"/>
    <mergeCell ref="E127:F127"/>
    <mergeCell ref="J127:K127"/>
    <mergeCell ref="E122:F122"/>
    <mergeCell ref="J122:K122"/>
    <mergeCell ref="E123:F123"/>
    <mergeCell ref="J123:K123"/>
    <mergeCell ref="E124:F124"/>
    <mergeCell ref="J124:K124"/>
    <mergeCell ref="J114:K114"/>
    <mergeCell ref="J115:K115"/>
    <mergeCell ref="J116:K116"/>
    <mergeCell ref="J117:K117"/>
    <mergeCell ref="E121:F121"/>
    <mergeCell ref="J121:K121"/>
    <mergeCell ref="J109:K109"/>
    <mergeCell ref="J110:K110"/>
    <mergeCell ref="J111:K111"/>
    <mergeCell ref="J112:K112"/>
    <mergeCell ref="J113:K113"/>
    <mergeCell ref="E2:G2"/>
    <mergeCell ref="J2:L2"/>
    <mergeCell ref="J106:K106"/>
    <mergeCell ref="J107:K107"/>
    <mergeCell ref="J108:K108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N121:O121"/>
    <mergeCell ref="S121:T121"/>
    <mergeCell ref="N122:O122"/>
    <mergeCell ref="S122:T122"/>
    <mergeCell ref="N123:O123"/>
    <mergeCell ref="S123:T123"/>
    <mergeCell ref="N124:O124"/>
    <mergeCell ref="S124:T124"/>
    <mergeCell ref="N125:O125"/>
    <mergeCell ref="S125:T125"/>
    <mergeCell ref="N126:O126"/>
    <mergeCell ref="S126:T126"/>
    <mergeCell ref="N127:O127"/>
    <mergeCell ref="S127:T127"/>
    <mergeCell ref="N128:O128"/>
    <mergeCell ref="S128:T128"/>
    <mergeCell ref="N148:S148"/>
    <mergeCell ref="N129:O129"/>
    <mergeCell ref="S129:T129"/>
    <mergeCell ref="S133:T133"/>
    <mergeCell ref="N146:S146"/>
    <mergeCell ref="N147:S1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2018-07-10T08:37:34Z</cp:lastPrinted>
  <dcterms:created xsi:type="dcterms:W3CDTF">2013-10-29T11:27:30Z</dcterms:created>
  <dcterms:modified xsi:type="dcterms:W3CDTF">2019-07-16T12:48:20Z</dcterms:modified>
</cp:coreProperties>
</file>