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_OE1450_IR_Rating\INVESTOR RELATIONS\IR Website\Deckungsstock Reporting\2018-12\xlsx\"/>
    </mc:Choice>
  </mc:AlternateContent>
  <xr:revisionPtr revIDLastSave="0" documentId="8_{0E0D910C-2EF9-41E0-9CC9-25C5EDC6E90F}" xr6:coauthVersionLast="31" xr6:coauthVersionMax="31" xr10:uidLastSave="{00000000-0000-0000-0000-000000000000}"/>
  <bookViews>
    <workbookView xWindow="0" yWindow="0" windowWidth="25200" windowHeight="12465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</definedNames>
  <calcPr calcId="179017"/>
</workbook>
</file>

<file path=xl/calcChain.xml><?xml version="1.0" encoding="utf-8"?>
<calcChain xmlns="http://schemas.openxmlformats.org/spreadsheetml/2006/main">
  <c r="C55" i="3" l="1"/>
  <c r="C26" i="3"/>
  <c r="C23" i="3"/>
  <c r="D18" i="3" s="1"/>
  <c r="D22" i="3"/>
  <c r="D21" i="3"/>
  <c r="D20" i="3"/>
  <c r="D19" i="3"/>
  <c r="D15" i="3"/>
  <c r="C15" i="3"/>
  <c r="D8" i="3"/>
  <c r="D9" i="3" s="1"/>
  <c r="H28" i="2"/>
  <c r="D28" i="2"/>
  <c r="D9" i="2"/>
  <c r="D6" i="2"/>
  <c r="C9" i="2"/>
  <c r="C6" i="2"/>
  <c r="C14" i="2" s="1"/>
  <c r="D14" i="2" l="1"/>
  <c r="D23" i="3"/>
  <c r="C61" i="3"/>
  <c r="D33" i="3" s="1"/>
  <c r="D50" i="3"/>
  <c r="D27" i="3"/>
  <c r="D43" i="3"/>
  <c r="D59" i="3"/>
  <c r="D37" i="3"/>
  <c r="D46" i="3"/>
  <c r="D39" i="3"/>
  <c r="D54" i="3"/>
  <c r="H149" i="2"/>
  <c r="D149" i="2"/>
  <c r="D52" i="3" l="1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<sst xmlns="http://schemas.openxmlformats.org/spreadsheetml/2006/main" count="635" uniqueCount="320">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</sst>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164" fontId="0" fillId="2" borderId="12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819105514</c:v>
                </c:pt>
                <c:pt idx="1">
                  <c:v>683253969.26999998</c:v>
                </c:pt>
                <c:pt idx="2">
                  <c:v>295912486.56</c:v>
                </c:pt>
                <c:pt idx="3">
                  <c:v>1345832994.1508386</c:v>
                </c:pt>
                <c:pt idx="4">
                  <c:v>1249870049.3754673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789392401.72900164</c:v>
                </c:pt>
                <c:pt idx="1">
                  <c:v>278249892.4455027</c:v>
                </c:pt>
                <c:pt idx="2">
                  <c:v>250092824.5</c:v>
                </c:pt>
                <c:pt idx="3">
                  <c:v>351110845.50999999</c:v>
                </c:pt>
                <c:pt idx="4">
                  <c:v>515819934.65837342</c:v>
                </c:pt>
                <c:pt idx="5">
                  <c:v>2209309114.5134277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111055522.56999999</c:v>
                </c:pt>
                <c:pt idx="1">
                  <c:v>235336769.06</c:v>
                </c:pt>
                <c:pt idx="2">
                  <c:v>375145564.39018017</c:v>
                </c:pt>
                <c:pt idx="3">
                  <c:v>553592228.09083855</c:v>
                </c:pt>
                <c:pt idx="4">
                  <c:v>3118844929.2452869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599056525.91984117</c:v>
                </c:pt>
                <c:pt idx="1">
                  <c:v>642663906</c:v>
                </c:pt>
                <c:pt idx="2">
                  <c:v>1060500000</c:v>
                </c:pt>
                <c:pt idx="3">
                  <c:v>717650000</c:v>
                </c:pt>
                <c:pt idx="4">
                  <c:v>817723551.14999998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819105514</c:v>
                </c:pt>
                <c:pt idx="1">
                  <c:v>683253969.26999998</c:v>
                </c:pt>
                <c:pt idx="2">
                  <c:v>295912486.56</c:v>
                </c:pt>
                <c:pt idx="3">
                  <c:v>1345832994.1508386</c:v>
                </c:pt>
                <c:pt idx="4">
                  <c:v>1249870049.3754673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789392401.72900164</c:v>
                </c:pt>
                <c:pt idx="1">
                  <c:v>278249892.4455027</c:v>
                </c:pt>
                <c:pt idx="2">
                  <c:v>250092824.5</c:v>
                </c:pt>
                <c:pt idx="3">
                  <c:v>351110845.50999999</c:v>
                </c:pt>
                <c:pt idx="4">
                  <c:v>515819934.65837342</c:v>
                </c:pt>
                <c:pt idx="5">
                  <c:v>2209309114.5134277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111055522.56999999</c:v>
                </c:pt>
                <c:pt idx="1">
                  <c:v>235336769.06</c:v>
                </c:pt>
                <c:pt idx="2">
                  <c:v>375145564.39018017</c:v>
                </c:pt>
                <c:pt idx="3">
                  <c:v>553592228.09083855</c:v>
                </c:pt>
                <c:pt idx="4">
                  <c:v>3118844929.2452869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599056525.91984117</c:v>
                </c:pt>
                <c:pt idx="1">
                  <c:v>642663906</c:v>
                </c:pt>
                <c:pt idx="2">
                  <c:v>1060500000</c:v>
                </c:pt>
                <c:pt idx="3">
                  <c:v>717650000</c:v>
                </c:pt>
                <c:pt idx="4">
                  <c:v>817723551.14999998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K8" sqref="K8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02" t="s">
        <v>315</v>
      </c>
      <c r="D1" s="202"/>
      <c r="E1" s="202"/>
      <c r="F1" s="161"/>
    </row>
    <row r="2" spans="1:6" x14ac:dyDescent="0.25">
      <c r="B2" s="80" t="str">
        <f>INDEX(Language!D2:M33,2,IF(A1="EN",1,6))</f>
        <v>Report Date</v>
      </c>
      <c r="D2" s="86">
        <v>43465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184">
        <v>0.10759000000000001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3837593983.0698414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4472507408.3563061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98">
        <v>49597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98">
        <v>44991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98">
        <v>108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v>99408.935306090236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v>90176.974582259136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96">
        <v>0.18845700944655136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96">
        <v>0.51980924968201692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96">
        <v>8.6391872599488106E-2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96">
        <v>1.8651851914766451E-2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96">
        <v>1.7342705925498095E-2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96">
        <v>0.46377578693299265</v>
      </c>
      <c r="E28" s="94"/>
      <c r="F28" s="163"/>
    </row>
    <row r="29" spans="2:6" ht="16.5" customHeight="1" x14ac:dyDescent="0.25">
      <c r="B29" s="94" t="str">
        <f>INDEX(Language!D2:M33,29,IF(A1="EN",1,6))</f>
        <v>Nominal over-collateralisation (total cover pool / outstanding issues in %)</v>
      </c>
      <c r="C29" s="95"/>
      <c r="D29" s="96">
        <v>0.16544570063625463</v>
      </c>
      <c r="E29" s="160"/>
      <c r="F29" s="163"/>
    </row>
    <row r="30" spans="2:6" ht="16.5" customHeight="1" x14ac:dyDescent="0.25">
      <c r="B30" s="94" t="str">
        <f>INDEX(Language!D2:M33,30,IF(A1="EN",1,6))</f>
        <v>Present value over-collateralisation (PV total cover pool / PV outstanding issues in %)</v>
      </c>
      <c r="C30" s="95"/>
      <c r="D30" s="96">
        <v>0.28278357708551383</v>
      </c>
      <c r="E30" s="94"/>
      <c r="F30" s="163"/>
    </row>
    <row r="31" spans="2:6" ht="16.5" customHeight="1" x14ac:dyDescent="0.25">
      <c r="B31" s="94" t="str">
        <f>INDEX(Language!D2:M33,31,IF(A1="EN",1,6))</f>
        <v>Number of issues</v>
      </c>
      <c r="C31" s="95"/>
      <c r="D31" s="98">
        <v>62</v>
      </c>
      <c r="E31" s="94"/>
      <c r="F31" s="151"/>
    </row>
    <row r="32" spans="2:6" ht="16.5" customHeight="1" x14ac:dyDescent="0.2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3">
        <v>61896677.146287762</v>
      </c>
      <c r="E32" s="94"/>
      <c r="F32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="115" zoomScaleNormal="115" zoomScalePageLayoutView="85" workbookViewId="0">
      <selection activeCell="B27" sqref="B27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6" t="s">
        <v>26</v>
      </c>
      <c r="C6" s="103">
        <f>SUM(C7:C8)</f>
        <v>1067642294.1745043</v>
      </c>
      <c r="D6" s="177">
        <f>SUM(D7:D8)</f>
        <v>48045</v>
      </c>
      <c r="I6" s="5"/>
    </row>
    <row r="7" spans="1:9" ht="15" x14ac:dyDescent="0.25">
      <c r="A7" s="57" t="s">
        <v>128</v>
      </c>
      <c r="B7" s="176" t="s">
        <v>123</v>
      </c>
      <c r="C7" s="103">
        <v>789392401.72900164</v>
      </c>
      <c r="D7" s="177">
        <v>46578</v>
      </c>
      <c r="I7" s="5"/>
    </row>
    <row r="8" spans="1:9" ht="15" x14ac:dyDescent="0.25">
      <c r="A8" s="57" t="s">
        <v>130</v>
      </c>
      <c r="B8" s="176" t="s">
        <v>124</v>
      </c>
      <c r="C8" s="103">
        <v>278249892.4455027</v>
      </c>
      <c r="D8" s="177">
        <v>1467</v>
      </c>
      <c r="I8" s="5"/>
    </row>
    <row r="9" spans="1:9" ht="15" x14ac:dyDescent="0.25">
      <c r="A9" s="57"/>
      <c r="B9" s="178" t="s">
        <v>27</v>
      </c>
      <c r="C9" s="103">
        <f>SUM(C10:C12)</f>
        <v>1117023604.6683733</v>
      </c>
      <c r="D9" s="177">
        <f>SUM(D10:D12)</f>
        <v>1439</v>
      </c>
      <c r="I9" s="5"/>
    </row>
    <row r="10" spans="1:9" ht="15" x14ac:dyDescent="0.25">
      <c r="A10" s="57" t="s">
        <v>131</v>
      </c>
      <c r="B10" s="178" t="s">
        <v>125</v>
      </c>
      <c r="C10" s="103">
        <v>250092824.5</v>
      </c>
      <c r="D10" s="177">
        <v>648</v>
      </c>
      <c r="I10" s="5"/>
    </row>
    <row r="11" spans="1:9" ht="15" x14ac:dyDescent="0.25">
      <c r="A11" s="57" t="s">
        <v>132</v>
      </c>
      <c r="B11" s="178" t="s">
        <v>126</v>
      </c>
      <c r="C11" s="103">
        <v>351110845.50999999</v>
      </c>
      <c r="D11" s="177">
        <v>510</v>
      </c>
      <c r="I11" s="5"/>
    </row>
    <row r="12" spans="1:9" ht="15" x14ac:dyDescent="0.25">
      <c r="A12" s="57" t="s">
        <v>133</v>
      </c>
      <c r="B12" s="178" t="s">
        <v>127</v>
      </c>
      <c r="C12" s="103">
        <v>515819934.65837342</v>
      </c>
      <c r="D12" s="177">
        <v>281</v>
      </c>
      <c r="I12" s="5"/>
    </row>
    <row r="13" spans="1:9" ht="15" x14ac:dyDescent="0.25">
      <c r="A13" s="57" t="s">
        <v>134</v>
      </c>
      <c r="B13" s="178" t="s">
        <v>29</v>
      </c>
      <c r="C13" s="103">
        <v>2209309114.5134277</v>
      </c>
      <c r="D13" s="177">
        <v>106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1">
        <f>C6+C9+C13</f>
        <v>4393975013.3563051</v>
      </c>
      <c r="D14" s="182">
        <f>D13+D9+D6</f>
        <v>49590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9"/>
      <c r="D23" s="158">
        <v>4312019242.0900002</v>
      </c>
      <c r="F23" s="7" t="str">
        <f>INDEX(Language!$D$2:$X$300,SUM(Language!AF23),IF(Overview!$A$1="EN",6,15))</f>
        <v>in EUR</v>
      </c>
      <c r="G23" s="8"/>
      <c r="H23" s="158">
        <v>3771039719.1599998</v>
      </c>
      <c r="I23" s="5"/>
    </row>
    <row r="24" spans="1:9" ht="15" x14ac:dyDescent="0.25">
      <c r="B24" s="102" t="s">
        <v>36</v>
      </c>
      <c r="C24" s="179"/>
      <c r="D24" s="158">
        <v>81955771.26630576</v>
      </c>
      <c r="F24" s="7" t="str">
        <f>INDEX(Language!$D$2:$X$300,SUM(Language!AF24),IF(Overview!$A$1="EN",6,15))</f>
        <v>in CHF</v>
      </c>
      <c r="G24" s="8"/>
      <c r="H24" s="158">
        <v>66554263.909841157</v>
      </c>
      <c r="I24" s="5"/>
    </row>
    <row r="25" spans="1:9" ht="15" x14ac:dyDescent="0.25">
      <c r="B25" s="102" t="s">
        <v>37</v>
      </c>
      <c r="C25" s="179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9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80">
        <f>SUM(D23:D27)</f>
        <v>4393975013.3563061</v>
      </c>
      <c r="E28" s="16"/>
      <c r="F28" s="21" t="str">
        <f>INDEX(Language!$D$2:$X$300,SUM(Language!AF28),IF(Overview!$A$1="EN",6,15))</f>
        <v>Total</v>
      </c>
      <c r="G28" s="23"/>
      <c r="H28" s="180">
        <f>SUM(H23:H27)</f>
        <v>3837593983.0698409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4393975013.3563061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103">
        <v>4373975013.3563061</v>
      </c>
      <c r="D35" s="104">
        <f>IF(($C$69=0),0,(C35/$C$69))</f>
        <v>0.99544831276026691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4.5516872397331053E-3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4393975013.3563061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1" t="str">
        <f>INDEX(Language!$D$2:$X$300,SUM(Language!AG72),IF(Overview!$A$1="EN",7,16))</f>
        <v>Share in total</v>
      </c>
      <c r="H72" s="212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67"/>
      <c r="D73" s="30"/>
      <c r="E73" s="30"/>
      <c r="F73" s="187">
        <f>IF(($C$83=0),0,(C73/$C$83))</f>
        <v>0</v>
      </c>
      <c r="G73" s="209">
        <f>IF(($C$69=0),0,(C73/$C$69))</f>
        <v>0</v>
      </c>
      <c r="H73" s="210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67">
        <v>275342974.26999998</v>
      </c>
      <c r="D74" s="30"/>
      <c r="E74" s="30"/>
      <c r="F74" s="187">
        <f t="shared" ref="F74:F81" si="1">IF(($C$83=0),0,(C74/$C$83))</f>
        <v>6.2950285136338616E-2</v>
      </c>
      <c r="G74" s="209">
        <f t="shared" ref="G74:G81" si="2">IF(($C$69=0),0,(C74/$C$69))</f>
        <v>6.266375512674599E-2</v>
      </c>
      <c r="H74" s="210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67">
        <v>3925345693.7644992</v>
      </c>
      <c r="D75" s="30"/>
      <c r="E75" s="30"/>
      <c r="F75" s="187">
        <f t="shared" si="1"/>
        <v>0.89743212564729358</v>
      </c>
      <c r="G75" s="209">
        <f t="shared" si="2"/>
        <v>0.89334729529245827</v>
      </c>
      <c r="H75" s="210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67">
        <v>57232258.539999999</v>
      </c>
      <c r="D76" s="30"/>
      <c r="E76" s="30"/>
      <c r="F76" s="187">
        <f t="shared" si="1"/>
        <v>1.3084724618964766E-2</v>
      </c>
      <c r="G76" s="209">
        <f t="shared" si="2"/>
        <v>1.3025167044881202E-2</v>
      </c>
      <c r="H76" s="210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67">
        <v>389773.75</v>
      </c>
      <c r="D77" s="30"/>
      <c r="E77" s="30"/>
      <c r="F77" s="187">
        <f t="shared" si="1"/>
        <v>8.9112020258413135E-5</v>
      </c>
      <c r="G77" s="209">
        <f t="shared" si="2"/>
        <v>8.8706410212896082E-5</v>
      </c>
      <c r="H77" s="210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67">
        <v>28326.03</v>
      </c>
      <c r="D78" s="30"/>
      <c r="E78" s="30"/>
      <c r="F78" s="187">
        <f t="shared" si="1"/>
        <v>6.4760383663610444E-6</v>
      </c>
      <c r="G78" s="209">
        <f t="shared" si="2"/>
        <v>6.4465614651648569E-6</v>
      </c>
      <c r="H78" s="210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67">
        <v>37955461.68</v>
      </c>
      <c r="D79" s="30"/>
      <c r="E79" s="30"/>
      <c r="F79" s="187">
        <f t="shared" si="1"/>
        <v>8.6775671018009381E-3</v>
      </c>
      <c r="G79" s="209">
        <f t="shared" si="2"/>
        <v>8.6380695303517434E-3</v>
      </c>
      <c r="H79" s="210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67">
        <v>44526368.670000002</v>
      </c>
      <c r="D80" s="30"/>
      <c r="E80" s="30"/>
      <c r="F80" s="187">
        <f t="shared" si="1"/>
        <v>1.0179840656161714E-2</v>
      </c>
      <c r="G80" s="209">
        <f t="shared" si="2"/>
        <v>1.0133505205344546E-2</v>
      </c>
      <c r="H80" s="210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67">
        <v>29110795.07</v>
      </c>
      <c r="D81" s="30"/>
      <c r="E81" s="30"/>
      <c r="F81" s="187">
        <f t="shared" si="1"/>
        <v>6.6554552737744738E-3</v>
      </c>
      <c r="G81" s="209">
        <f t="shared" si="2"/>
        <v>6.6251617229302201E-3</v>
      </c>
      <c r="H81" s="210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67">
        <v>4043361.5818067198</v>
      </c>
      <c r="D82" s="30"/>
      <c r="E82" s="30"/>
      <c r="F82" s="187">
        <f>IF(($C$83=0),0,(C82/$C$83))</f>
        <v>9.2441350704107136E-4</v>
      </c>
      <c r="G82" s="209">
        <f>IF(($C$69=0),0,(C82/$C$69))</f>
        <v>9.2020586587683562E-4</v>
      </c>
      <c r="H82" s="210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4373975013.3563061</v>
      </c>
      <c r="D83" s="185"/>
      <c r="E83" s="185"/>
      <c r="F83" s="186">
        <f>SUM(F73:F82)</f>
        <v>0.99999999999999989</v>
      </c>
      <c r="G83" s="203">
        <f>SUM(G73:H82)</f>
        <v>0.99544831276026691</v>
      </c>
      <c r="H83" s="204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07" t="str">
        <f>INDEX(Language!$D$2:$X$300,SUM(Language!AG87),IF(Overview!$A$1="EN",7,16))</f>
        <v>%</v>
      </c>
      <c r="H87" s="208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20000000</v>
      </c>
      <c r="G88" s="209">
        <f>IF(($F$95=0),0,(F88/$F$95))</f>
        <v>4.5516872397331053E-3</v>
      </c>
      <c r="H88" s="210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1542700660.4300001</v>
      </c>
      <c r="G89" s="209">
        <f t="shared" ref="G89:G94" si="3">IF(($F$95=0),0,(F89/$F$95))</f>
        <v>0.3510945455403533</v>
      </c>
      <c r="H89" s="210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v>382948201.77287775</v>
      </c>
      <c r="G90" s="209">
        <f t="shared" si="3"/>
        <v>8.7153022174417311E-2</v>
      </c>
      <c r="H90" s="210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09">
        <f t="shared" si="3"/>
        <v>0</v>
      </c>
      <c r="H91" s="210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2155480841.3876114</v>
      </c>
      <c r="G92" s="209">
        <f t="shared" si="3"/>
        <v>0.49055373206165842</v>
      </c>
      <c r="H92" s="210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v>189725481.33258939</v>
      </c>
      <c r="G93" s="209">
        <f t="shared" si="3"/>
        <v>4.3178552621688432E-2</v>
      </c>
      <c r="H93" s="210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103">
        <v>103119828.43322743</v>
      </c>
      <c r="G94" s="209">
        <f t="shared" si="3"/>
        <v>2.3468460362149418E-2</v>
      </c>
      <c r="H94" s="210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4393975013.3563061</v>
      </c>
      <c r="G95" s="203">
        <f>SUM(G88:H94)</f>
        <v>1</v>
      </c>
      <c r="H95" s="204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05">
        <v>6.2993760129999998</v>
      </c>
      <c r="H99" s="206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103">
        <v>819105514</v>
      </c>
      <c r="D102" s="104">
        <f>IF(($C$107=0),0,(C102/$C$107))</f>
        <v>0.18641560580344133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103">
        <v>683253969.26999998</v>
      </c>
      <c r="D103" s="104">
        <f>IF(($C$107=0),0,(C103/$C$107))</f>
        <v>0.15549791867116272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103">
        <v>295912486.56</v>
      </c>
      <c r="D104" s="104">
        <f>IF(($C$107=0),0,(C104/$C$107))</f>
        <v>6.73450544576423E-2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103">
        <v>1345832994.1508386</v>
      </c>
      <c r="D105" s="104">
        <f>IF(($C$107=0),0,(C105/$C$107))</f>
        <v>0.30629054331440858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103">
        <v>1249870049.3754673</v>
      </c>
      <c r="D106" s="104">
        <f>IF(($C$107=0),0,(C106/$C$107))</f>
        <v>0.28445087775334504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4393975013.3563061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15" t="str">
        <f>INDEX(Language!$D$2:$X$300,SUM(Language!AB112),IF(Overview!$A$1="EN",2,11))</f>
        <v>WA residual life (incl. contractural amortisation)</v>
      </c>
      <c r="C112" s="216"/>
      <c r="D112" s="216"/>
      <c r="E112" s="132"/>
      <c r="F112" s="132"/>
      <c r="G112" s="132"/>
      <c r="H112" s="114">
        <v>9.8430428600000006</v>
      </c>
      <c r="I112" s="5"/>
    </row>
    <row r="113" spans="2:9" ht="15" x14ac:dyDescent="0.25">
      <c r="B113" s="213" t="str">
        <f>INDEX(Language!$D$2:$X$300,SUM(Language!AB113),IF(Overview!$A$1="EN",2,11))</f>
        <v>WA residual life (final legal maturity)</v>
      </c>
      <c r="C113" s="214"/>
      <c r="D113" s="214"/>
      <c r="E113" s="132"/>
      <c r="F113" s="132"/>
      <c r="G113" s="132"/>
      <c r="H113" s="114">
        <v>15.72647604</v>
      </c>
      <c r="I113" s="5"/>
    </row>
    <row r="114" spans="2:9" ht="15" customHeight="1" x14ac:dyDescent="0.25">
      <c r="B114" s="215" t="str">
        <f>INDEX(Language!$D$2:$X$300,SUM(Language!AB114),IF(Overview!$A$1="EN",2,11))</f>
        <v>WA residual life of issues (final legal maturity)</v>
      </c>
      <c r="C114" s="216"/>
      <c r="D114" s="216"/>
      <c r="E114" s="130"/>
      <c r="F114" s="130"/>
      <c r="G114" s="130"/>
      <c r="H114" s="114">
        <v>5.7884158899999996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103">
        <v>111055522.56999999</v>
      </c>
      <c r="D118" s="104">
        <f>IF(($C$123=0),0,(C118/$C$123))</f>
        <v>2.5274500249188044E-2</v>
      </c>
      <c r="F118" s="7" t="str">
        <f>INDEX(Language!$D$2:$X$300,SUM(Language!AF118),IF(Overview!$A$1="EN",6,15))</f>
        <v>≤ 12 months</v>
      </c>
      <c r="G118" s="103">
        <v>599056525.91984117</v>
      </c>
      <c r="H118" s="104">
        <f>IF(($G$123=0),0,(G118/$G$123))</f>
        <v>0.15610211204277333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103">
        <v>235336769.06</v>
      </c>
      <c r="D119" s="104">
        <f>IF(($C$123=0),0,(C119/$C$123))</f>
        <v>5.3558968438520933E-2</v>
      </c>
      <c r="F119" s="7" t="str">
        <f>INDEX(Language!$D$2:$X$300,SUM(Language!AF119),IF(Overview!$A$1="EN",6,15))</f>
        <v>12 - 36 months</v>
      </c>
      <c r="G119" s="103">
        <v>642663906</v>
      </c>
      <c r="H119" s="104">
        <f>IF(($G$123=0),0,(G119/$G$123))</f>
        <v>0.16746532041566004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103">
        <v>375145564.39018017</v>
      </c>
      <c r="D120" s="104">
        <f>IF(($C$123=0),0,(C120/$C$123))</f>
        <v>8.5377263923862856E-2</v>
      </c>
      <c r="F120" s="7" t="str">
        <f>INDEX(Language!$D$2:$X$300,SUM(Language!AF120),IF(Overview!$A$1="EN",6,15))</f>
        <v>36 - 60 months</v>
      </c>
      <c r="G120" s="103">
        <v>1060500000</v>
      </c>
      <c r="H120" s="104">
        <f>IF(($G$123=0),0,(G120/$G$123))</f>
        <v>0.27634502364725533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103">
        <v>553592228.09083855</v>
      </c>
      <c r="D121" s="104">
        <f>IF(($C$123=0),0,(C121/$C$123))</f>
        <v>0.12598893403082442</v>
      </c>
      <c r="F121" s="7" t="str">
        <f>INDEX(Language!$D$2:$X$300,SUM(Language!AF121),IF(Overview!$A$1="EN",6,15))</f>
        <v>60 - 120 months</v>
      </c>
      <c r="G121" s="103">
        <v>717650000</v>
      </c>
      <c r="H121" s="104">
        <f>IF(($G$123=0),0,(G121/$G$123))</f>
        <v>0.18700519209849389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103">
        <v>3118844929.2452869</v>
      </c>
      <c r="D122" s="104">
        <f>IF(($C$123=0),0,(C122/$C$123))</f>
        <v>0.70980033335760362</v>
      </c>
      <c r="F122" s="7" t="str">
        <f>INDEX(Language!$D$2:$X$300,SUM(Language!AF122),IF(Overview!$A$1="EN",6,15))</f>
        <v>≥ 120 months</v>
      </c>
      <c r="G122" s="103">
        <v>817723551.14999998</v>
      </c>
      <c r="H122" s="104">
        <f>IF(($G$123=0),0,(G122/$G$123))</f>
        <v>0.21308235179581739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4393975013.3563061</v>
      </c>
      <c r="D123" s="172">
        <f>SUM(D118:D122)</f>
        <v>0.99999999999999989</v>
      </c>
      <c r="F123" s="12" t="str">
        <f>INDEX(Language!$D$2:$X$300,SUM(Language!AF123),IF(Overview!$A$1="EN",6,15))</f>
        <v>Total</v>
      </c>
      <c r="G123" s="171">
        <f>SUM(G118:G122)</f>
        <v>3837593983.0698414</v>
      </c>
      <c r="H123" s="172">
        <f>SUM(H118:H122)</f>
        <v>0.99999999999999989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158">
        <v>2356155793.7730784</v>
      </c>
      <c r="F145" s="7" t="str">
        <f>INDEX(Language!$D$2:$X$300,SUM(Language!AF145),IF(Overview!$A$1="EN",6,15))</f>
        <v>Variable, fixed rate during the year</v>
      </c>
      <c r="G145" s="8"/>
      <c r="H145" s="158">
        <v>621706525.91984117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158">
        <v>23294340.699999999</v>
      </c>
      <c r="F146" s="7" t="str">
        <f>INDEX(Language!$D$2:$X$300,SUM(Language!AF146),IF(Overview!$A$1="EN",6,15))</f>
        <v>Fixed rate, 1 - 2 years</v>
      </c>
      <c r="G146" s="8"/>
      <c r="H146" s="158">
        <v>550000000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158">
        <v>157935027.65000001</v>
      </c>
      <c r="F147" s="7" t="str">
        <f>INDEX(Language!$D$2:$X$300,SUM(Language!AF147),IF(Overview!$A$1="EN",6,15))</f>
        <v>Fixed rate, 2 - 5 years</v>
      </c>
      <c r="G147" s="8"/>
      <c r="H147" s="158">
        <v>1153163906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158">
        <v>1856589851.2332275</v>
      </c>
      <c r="F148" s="7" t="str">
        <f>INDEX(Language!$D$2:$X$300,SUM(Language!AF148),IF(Overview!$A$1="EN",6,15))</f>
        <v>Fixed rate, &gt; 5 years</v>
      </c>
      <c r="G148" s="8"/>
      <c r="H148" s="158">
        <v>1512723551.1500001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8">
        <f>SUM(D145:D148)</f>
        <v>4393975013.3563061</v>
      </c>
      <c r="F149" s="12" t="str">
        <f>INDEX(Language!$D$2:$X$300,SUM(Language!AF149),IF(Overview!$A$1="EN",6,15))</f>
        <v>Total</v>
      </c>
      <c r="G149" s="23"/>
      <c r="H149" s="188">
        <f>SUM(H145:H148)</f>
        <v>3837593983.0698414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F32" sqref="F32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91" t="str">
        <f>INDEX([2]Language!$D$2:$X$300,SUM([2]Language!AB207),IF([2]Overview!$A$1="EN",3,11))</f>
        <v>Overview</v>
      </c>
      <c r="C4" s="192"/>
      <c r="D4" s="191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175">
        <v>78532395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62">
        <v>66948000</v>
      </c>
    </row>
    <row r="8" spans="1:5" x14ac:dyDescent="0.25">
      <c r="B8" s="193" t="str">
        <f>INDEX([2]Language!$D$2:$X$300,SUM([2]Language!AB211),IF([2]Overview!$A$1="EN",3,11))</f>
        <v>Total</v>
      </c>
      <c r="C8" s="193"/>
      <c r="D8" s="189">
        <f>SUM(D5:D6)</f>
        <v>78532395</v>
      </c>
    </row>
    <row r="9" spans="1:5" x14ac:dyDescent="0.25">
      <c r="B9" s="193" t="str">
        <f>INDEX([2]Language!$D$2:$X$300,SUM([2]Language!AB212),IF([2]Overview!$A$1="EN",3,11))</f>
        <v>Additional cover pool (in % of total issues)</v>
      </c>
      <c r="C9" s="193"/>
      <c r="D9" s="190">
        <f>D8/[3]Primärdeckung!$C$14</f>
        <v>1.7995736630797836E-2</v>
      </c>
      <c r="E9" s="80"/>
    </row>
    <row r="11" spans="1:5" x14ac:dyDescent="0.25">
      <c r="B11" s="191" t="str">
        <f>INDEX([2]Language!$D$2:$X$300,SUM([2]Language!AB214),IF([2]Overview!$A$1="EN",3,11))</f>
        <v>Bonds by volume</v>
      </c>
      <c r="C11" s="192" t="str">
        <f>INDEX([2]Language!$D$2:$X$300,SUM([2]Language!AC214),IF([2]Overview!$A$1="EN",4,12))</f>
        <v>volume</v>
      </c>
      <c r="D11" s="194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25">
      <c r="B13" s="38" t="str">
        <f>INDEX([2]Language!$D$2:$X$300,SUM([2]Language!AB216),IF([2]Overview!$A$1="EN",3,11))</f>
        <v>1.000.000 - 5.000.000</v>
      </c>
      <c r="C13" s="81">
        <v>10000000</v>
      </c>
      <c r="D13" s="48">
        <v>3</v>
      </c>
    </row>
    <row r="14" spans="1:5" x14ac:dyDescent="0.25">
      <c r="B14" s="38" t="str">
        <f>INDEX([2]Language!$D$2:$X$300,SUM([2]Language!AB217),IF([2]Overview!$A$1="EN",3,11))</f>
        <v>≥ 5.000.000</v>
      </c>
      <c r="C14" s="81">
        <v>68532395</v>
      </c>
      <c r="D14" s="48">
        <v>6</v>
      </c>
    </row>
    <row r="15" spans="1:5" x14ac:dyDescent="0.25">
      <c r="B15" s="193" t="str">
        <f>INDEX([2]Language!$D$2:$X$300,SUM([2]Language!AB218),IF([2]Overview!$A$1="EN",3,11))</f>
        <v>Total</v>
      </c>
      <c r="C15" s="195">
        <f>SUM(C12:C14)</f>
        <v>78532395</v>
      </c>
      <c r="D15" s="196">
        <f>SUM(D12:D14)</f>
        <v>9</v>
      </c>
    </row>
    <row r="17" spans="2:4" x14ac:dyDescent="0.25">
      <c r="B17" s="191" t="str">
        <f>INDEX([2]Language!$D$2:$X$300,SUM([2]Language!AB220),IF([2]Overview!$A$1="EN",3,11))</f>
        <v>Additional cover pool by currencies</v>
      </c>
      <c r="C17" s="192" t="str">
        <f>INDEX([2]Language!$D$2:$X$300,SUM([2]Language!AC220),IF([2]Overview!$A$1="EN",4,12))</f>
        <v>volume</v>
      </c>
      <c r="D17" s="194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81">
        <v>78532395</v>
      </c>
      <c r="D18" s="198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8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8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8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8">
        <f>IF(($C$23=0),0,(C22/$C$23))</f>
        <v>0</v>
      </c>
    </row>
    <row r="23" spans="2:4" x14ac:dyDescent="0.25">
      <c r="B23" s="193" t="str">
        <f>INDEX([2]Language!$D$2:$X$300,SUM([2]Language!AB226),IF([2]Overview!$A$1="EN",3,11))</f>
        <v>Total</v>
      </c>
      <c r="C23" s="195">
        <f>SUM(C18:C22)</f>
        <v>78532395</v>
      </c>
      <c r="D23" s="197">
        <f>SUM(D18:D22)</f>
        <v>1</v>
      </c>
    </row>
    <row r="25" spans="2:4" x14ac:dyDescent="0.25">
      <c r="B25" s="191" t="str">
        <f>INDEX([2]Language!$D$2:$X$300,SUM([2]Language!AB228),IF([2]Overview!$A$1="EN",3,11))</f>
        <v>Regional distribution of additional cover pool</v>
      </c>
      <c r="C25" s="192" t="str">
        <f>INDEX([2]Language!$D$2:$X$300,SUM([2]Language!AC228),IF([2]Overview!$A$1="EN",4,12))</f>
        <v>Volumen</v>
      </c>
      <c r="D25" s="194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9">
        <f>SUM(C27:C54)</f>
        <v>78532395</v>
      </c>
      <c r="D26" s="200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81">
        <v>33532395</v>
      </c>
      <c r="D27" s="201">
        <f>IF(($C$61=0),0,(C27/$C$61))</f>
        <v>0.42698806015020935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201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201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201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201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81">
        <v>13000000</v>
      </c>
      <c r="D32" s="201">
        <f t="shared" si="0"/>
        <v>0.16553678262327284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201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201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201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201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201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201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201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201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201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201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201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201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201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/>
      <c r="D46" s="201">
        <f t="shared" si="0"/>
        <v>0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201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201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81">
        <v>32000000</v>
      </c>
      <c r="D49" s="201">
        <f t="shared" si="0"/>
        <v>0.40747515722651778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201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201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201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201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201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9">
        <f>SUM(C56:C58)</f>
        <v>0</v>
      </c>
      <c r="D55" s="200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200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200">
        <f>IF(($C$61=0),0,(C60/$C$61))</f>
        <v>0</v>
      </c>
    </row>
    <row r="61" spans="2:4" x14ac:dyDescent="0.25">
      <c r="B61" s="191" t="str">
        <f>INDEX([2]Language!$D$2:$X$300,SUM([2]Language!AB264),IF([2]Overview!$A$1="EN",3,11))</f>
        <v>Total</v>
      </c>
      <c r="C61" s="195">
        <f>C26+C55+C59+C60</f>
        <v>78532395</v>
      </c>
      <c r="D61" s="197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29" t="s">
        <v>169</v>
      </c>
      <c r="F2" s="229"/>
      <c r="G2" s="229"/>
      <c r="H2" s="84"/>
      <c r="I2" s="84" t="s">
        <v>0</v>
      </c>
      <c r="J2" s="202" t="s">
        <v>169</v>
      </c>
      <c r="K2" s="202"/>
      <c r="L2" s="202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1" t="s">
        <v>266</v>
      </c>
      <c r="K106" s="212"/>
      <c r="M106" s="2"/>
      <c r="N106" s="18"/>
      <c r="O106" s="19" t="s">
        <v>24</v>
      </c>
      <c r="P106" s="22"/>
      <c r="Q106" s="22"/>
      <c r="R106" s="19" t="s">
        <v>80</v>
      </c>
      <c r="S106" s="211" t="s">
        <v>117</v>
      </c>
      <c r="T106" s="212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1">
        <f>IF(($C$69=0),0,(F107/$C$69))</f>
        <v>0</v>
      </c>
      <c r="K107" s="222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1">
        <f>IF(($C$69=0),0,(O107/$C$69))</f>
        <v>0</v>
      </c>
      <c r="T107" s="222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1">
        <f t="shared" ref="J108:J114" si="5">IF(($C$69=0),0,(F108/$C$69))</f>
        <v>0</v>
      </c>
      <c r="K108" s="222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1">
        <f t="shared" ref="S108:S115" si="7">IF(($C$69=0),0,(O108/$C$69))</f>
        <v>0</v>
      </c>
      <c r="T108" s="222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1">
        <f t="shared" si="5"/>
        <v>0</v>
      </c>
      <c r="K109" s="222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1">
        <f t="shared" si="7"/>
        <v>0</v>
      </c>
      <c r="T109" s="222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1">
        <f t="shared" si="5"/>
        <v>0</v>
      </c>
      <c r="K110" s="222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1">
        <f t="shared" si="7"/>
        <v>0</v>
      </c>
      <c r="T110" s="222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1">
        <f t="shared" si="5"/>
        <v>0</v>
      </c>
      <c r="K111" s="222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1">
        <f t="shared" si="7"/>
        <v>0</v>
      </c>
      <c r="T111" s="222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1">
        <f t="shared" si="5"/>
        <v>0</v>
      </c>
      <c r="K112" s="222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1">
        <f t="shared" si="7"/>
        <v>0</v>
      </c>
      <c r="T112" s="222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1">
        <f t="shared" si="5"/>
        <v>0</v>
      </c>
      <c r="K113" s="222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1">
        <f t="shared" si="7"/>
        <v>0</v>
      </c>
      <c r="T113" s="222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1">
        <f t="shared" si="5"/>
        <v>0</v>
      </c>
      <c r="K114" s="222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1">
        <f t="shared" si="7"/>
        <v>0</v>
      </c>
      <c r="T114" s="222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1">
        <f>IF(($C$69=0),0,(F115/$C$69))</f>
        <v>0</v>
      </c>
      <c r="K115" s="222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1">
        <f t="shared" si="7"/>
        <v>0</v>
      </c>
      <c r="T115" s="222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1">
        <f>IF(($C$69=0),0,(F116/$C$69))</f>
        <v>0</v>
      </c>
      <c r="K116" s="222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1">
        <f>IF(($C$69=0),0,(O116/$C$69))</f>
        <v>0</v>
      </c>
      <c r="T116" s="222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25">
        <f>SUM(J107:K116)</f>
        <v>0</v>
      </c>
      <c r="K117" s="226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25">
        <f>SUM(S107:T116)</f>
        <v>0</v>
      </c>
      <c r="T117" s="226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23" t="s">
        <v>274</v>
      </c>
      <c r="F121" s="224"/>
      <c r="G121" s="119"/>
      <c r="H121" s="119"/>
      <c r="I121" s="119" t="s">
        <v>217</v>
      </c>
      <c r="J121" s="207" t="s">
        <v>41</v>
      </c>
      <c r="K121" s="208"/>
      <c r="M121" s="2"/>
      <c r="N121" s="223" t="s">
        <v>160</v>
      </c>
      <c r="O121" s="224"/>
      <c r="P121" s="127"/>
      <c r="Q121" s="127"/>
      <c r="R121" s="127" t="s">
        <v>24</v>
      </c>
      <c r="S121" s="207" t="s">
        <v>41</v>
      </c>
      <c r="T121" s="208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27" t="s">
        <v>275</v>
      </c>
      <c r="F122" s="228"/>
      <c r="G122" s="8"/>
      <c r="H122" s="8"/>
      <c r="I122" s="67">
        <v>20000000</v>
      </c>
      <c r="J122" s="221">
        <f>IF(($F$95=0),0,(I122/$F$95))</f>
        <v>1</v>
      </c>
      <c r="K122" s="222"/>
      <c r="M122" s="2"/>
      <c r="N122" s="230" t="s">
        <v>158</v>
      </c>
      <c r="O122" s="218"/>
      <c r="P122" s="8"/>
      <c r="Q122" s="8"/>
      <c r="R122" s="67">
        <v>9999999999</v>
      </c>
      <c r="S122" s="221">
        <f>IF(($F$95=0),0,(R122/$F$95))</f>
        <v>499.99999995000002</v>
      </c>
      <c r="T122" s="222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19" t="s">
        <v>276</v>
      </c>
      <c r="F123" s="220"/>
      <c r="G123" s="8"/>
      <c r="H123" s="8"/>
      <c r="I123" s="67">
        <v>20000000</v>
      </c>
      <c r="J123" s="221">
        <f>IF(($F$95=0),0,(I123/$F$95))</f>
        <v>1</v>
      </c>
      <c r="K123" s="222"/>
      <c r="M123" s="2"/>
      <c r="N123" s="230" t="s">
        <v>155</v>
      </c>
      <c r="O123" s="218"/>
      <c r="P123" s="8"/>
      <c r="Q123" s="8"/>
      <c r="R123" s="67">
        <v>0</v>
      </c>
      <c r="S123" s="221">
        <f t="shared" ref="S123:S128" si="8">IF(($F$95=0),0,(R123/$F$95))</f>
        <v>0</v>
      </c>
      <c r="T123" s="222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19" t="s">
        <v>277</v>
      </c>
      <c r="F124" s="220"/>
      <c r="G124" s="8"/>
      <c r="H124" s="8"/>
      <c r="I124" s="67">
        <v>20000000</v>
      </c>
      <c r="J124" s="221">
        <f t="shared" ref="J124:J128" si="9">IF(($F$95=0),0,(I124/$F$95))</f>
        <v>1</v>
      </c>
      <c r="K124" s="222"/>
      <c r="M124" s="2"/>
      <c r="N124" s="217" t="s">
        <v>154</v>
      </c>
      <c r="O124" s="231"/>
      <c r="P124" s="8"/>
      <c r="Q124" s="8"/>
      <c r="R124" s="67">
        <v>0</v>
      </c>
      <c r="S124" s="221">
        <f t="shared" si="8"/>
        <v>0</v>
      </c>
      <c r="T124" s="222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19" t="s">
        <v>278</v>
      </c>
      <c r="F125" s="220"/>
      <c r="G125" s="8"/>
      <c r="H125" s="8"/>
      <c r="I125" s="67">
        <v>20000000</v>
      </c>
      <c r="J125" s="221">
        <f t="shared" si="9"/>
        <v>1</v>
      </c>
      <c r="K125" s="222"/>
      <c r="M125" s="2"/>
      <c r="N125" s="230" t="s">
        <v>157</v>
      </c>
      <c r="O125" s="218"/>
      <c r="P125" s="8"/>
      <c r="Q125" s="8"/>
      <c r="R125" s="67">
        <v>9999999999</v>
      </c>
      <c r="S125" s="221">
        <f t="shared" si="8"/>
        <v>499.99999995000002</v>
      </c>
      <c r="T125" s="222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19" t="s">
        <v>279</v>
      </c>
      <c r="F126" s="220"/>
      <c r="G126" s="8"/>
      <c r="H126" s="8"/>
      <c r="I126" s="67">
        <v>20000000</v>
      </c>
      <c r="J126" s="221">
        <f t="shared" si="9"/>
        <v>1</v>
      </c>
      <c r="K126" s="222"/>
      <c r="M126" s="2"/>
      <c r="N126" s="230" t="s">
        <v>156</v>
      </c>
      <c r="O126" s="218"/>
      <c r="P126" s="8"/>
      <c r="Q126" s="8"/>
      <c r="R126" s="67">
        <v>559101638.75</v>
      </c>
      <c r="S126" s="221">
        <f t="shared" si="8"/>
        <v>27.955081937500001</v>
      </c>
      <c r="T126" s="222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19" t="s">
        <v>280</v>
      </c>
      <c r="F127" s="220"/>
      <c r="G127" s="8"/>
      <c r="H127" s="8"/>
      <c r="I127" s="67">
        <v>20000000</v>
      </c>
      <c r="J127" s="221">
        <f t="shared" si="9"/>
        <v>1</v>
      </c>
      <c r="K127" s="222"/>
      <c r="M127" s="2"/>
      <c r="N127" s="230" t="s">
        <v>159</v>
      </c>
      <c r="O127" s="218"/>
      <c r="P127" s="8"/>
      <c r="Q127" s="8"/>
      <c r="R127" s="67">
        <v>442366849.20999998</v>
      </c>
      <c r="S127" s="221">
        <f t="shared" si="8"/>
        <v>22.118342460499999</v>
      </c>
      <c r="T127" s="222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19" t="s">
        <v>281</v>
      </c>
      <c r="F128" s="220"/>
      <c r="G128" s="8"/>
      <c r="H128" s="8"/>
      <c r="I128" s="67">
        <v>20000000</v>
      </c>
      <c r="J128" s="221">
        <f t="shared" si="9"/>
        <v>1</v>
      </c>
      <c r="K128" s="222"/>
      <c r="M128" s="2"/>
      <c r="N128" s="230" t="s">
        <v>168</v>
      </c>
      <c r="O128" s="218"/>
      <c r="P128" s="8"/>
      <c r="Q128" s="8"/>
      <c r="R128" s="67">
        <v>2333333</v>
      </c>
      <c r="S128" s="221">
        <f t="shared" si="8"/>
        <v>0.11666665</v>
      </c>
      <c r="T128" s="222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23" t="s">
        <v>224</v>
      </c>
      <c r="F129" s="224"/>
      <c r="G129" s="23"/>
      <c r="H129" s="23"/>
      <c r="I129" s="72">
        <f>SUM(I122:I128)</f>
        <v>140000000</v>
      </c>
      <c r="J129" s="225">
        <f>SUM(J122:K128)</f>
        <v>7</v>
      </c>
      <c r="K129" s="226"/>
      <c r="M129" s="2"/>
      <c r="N129" s="223" t="s">
        <v>30</v>
      </c>
      <c r="O129" s="224"/>
      <c r="P129" s="23"/>
      <c r="Q129" s="23"/>
      <c r="R129" s="72">
        <f>SUM(R122:R128)</f>
        <v>21003801818.959999</v>
      </c>
      <c r="S129" s="225">
        <f>SUM(S122:T128)</f>
        <v>1050.190090948</v>
      </c>
      <c r="T129" s="226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05">
        <v>5</v>
      </c>
      <c r="K133" s="206"/>
      <c r="M133" s="2"/>
      <c r="N133" s="32" t="s">
        <v>177</v>
      </c>
      <c r="O133" s="33"/>
      <c r="P133" s="33"/>
      <c r="Q133" s="33"/>
      <c r="R133" s="33"/>
      <c r="S133" s="205">
        <v>5</v>
      </c>
      <c r="T133" s="206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17" t="s">
        <v>290</v>
      </c>
      <c r="F146" s="218"/>
      <c r="G146" s="218"/>
      <c r="H146" s="218"/>
      <c r="I146" s="218"/>
      <c r="J146" s="218"/>
      <c r="K146" s="133">
        <v>5</v>
      </c>
      <c r="M146" s="2"/>
      <c r="N146" s="215" t="s">
        <v>172</v>
      </c>
      <c r="O146" s="214"/>
      <c r="P146" s="214"/>
      <c r="Q146" s="214"/>
      <c r="R146" s="214"/>
      <c r="S146" s="214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17" t="s">
        <v>291</v>
      </c>
      <c r="F147" s="218"/>
      <c r="G147" s="218"/>
      <c r="H147" s="218"/>
      <c r="I147" s="218"/>
      <c r="J147" s="218"/>
      <c r="K147" s="133">
        <v>5</v>
      </c>
      <c r="M147" s="2"/>
      <c r="N147" s="213" t="s">
        <v>173</v>
      </c>
      <c r="O147" s="214"/>
      <c r="P147" s="214"/>
      <c r="Q147" s="214"/>
      <c r="R147" s="214"/>
      <c r="S147" s="214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17" t="s">
        <v>292</v>
      </c>
      <c r="F148" s="218"/>
      <c r="G148" s="218"/>
      <c r="H148" s="218"/>
      <c r="I148" s="218"/>
      <c r="J148" s="218"/>
      <c r="K148" s="133">
        <v>5</v>
      </c>
      <c r="M148" s="2"/>
      <c r="N148" s="215" t="s">
        <v>146</v>
      </c>
      <c r="O148" s="216"/>
      <c r="P148" s="216"/>
      <c r="Q148" s="216"/>
      <c r="R148" s="216"/>
      <c r="S148" s="216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N148:S148"/>
    <mergeCell ref="N129:O129"/>
    <mergeCell ref="S129:T129"/>
    <mergeCell ref="S133:T133"/>
    <mergeCell ref="N146:S146"/>
    <mergeCell ref="N147:S147"/>
    <mergeCell ref="N126:O126"/>
    <mergeCell ref="S126:T126"/>
    <mergeCell ref="N127:O127"/>
    <mergeCell ref="S127:T127"/>
    <mergeCell ref="N128:O128"/>
    <mergeCell ref="S128:T128"/>
    <mergeCell ref="N123:O123"/>
    <mergeCell ref="S123:T123"/>
    <mergeCell ref="N124:O124"/>
    <mergeCell ref="S124:T124"/>
    <mergeCell ref="N125:O125"/>
    <mergeCell ref="S125:T125"/>
    <mergeCell ref="S116:T116"/>
    <mergeCell ref="S117:T117"/>
    <mergeCell ref="N121:O121"/>
    <mergeCell ref="S121:T121"/>
    <mergeCell ref="N122:O122"/>
    <mergeCell ref="S122:T122"/>
    <mergeCell ref="S111:T111"/>
    <mergeCell ref="S112:T112"/>
    <mergeCell ref="S113:T113"/>
    <mergeCell ref="S114:T114"/>
    <mergeCell ref="S115:T115"/>
    <mergeCell ref="S106:T106"/>
    <mergeCell ref="S107:T107"/>
    <mergeCell ref="S108:T108"/>
    <mergeCell ref="S109:T109"/>
    <mergeCell ref="S110:T110"/>
    <mergeCell ref="E2:G2"/>
    <mergeCell ref="J2:L2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E121:F121"/>
    <mergeCell ref="J121:K121"/>
    <mergeCell ref="E122:F122"/>
    <mergeCell ref="J122:K122"/>
    <mergeCell ref="E123:F123"/>
    <mergeCell ref="J123:K123"/>
    <mergeCell ref="E124:F124"/>
    <mergeCell ref="J124:K124"/>
    <mergeCell ref="E125:F125"/>
    <mergeCell ref="J125:K125"/>
    <mergeCell ref="E126:F126"/>
    <mergeCell ref="J126:K126"/>
    <mergeCell ref="E127:F127"/>
    <mergeCell ref="J127:K127"/>
    <mergeCell ref="E146:J146"/>
    <mergeCell ref="E147:J147"/>
    <mergeCell ref="E148:J148"/>
    <mergeCell ref="E128:F128"/>
    <mergeCell ref="J128:K128"/>
    <mergeCell ref="E129:F129"/>
    <mergeCell ref="J129:K129"/>
    <mergeCell ref="J133:K1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Reiter Marco</cp:lastModifiedBy>
  <cp:lastPrinted>2018-07-10T08:37:34Z</cp:lastPrinted>
  <dcterms:created xsi:type="dcterms:W3CDTF">2013-10-29T11:27:30Z</dcterms:created>
  <dcterms:modified xsi:type="dcterms:W3CDTF">2019-01-23T08:40:24Z</dcterms:modified>
</cp:coreProperties>
</file>