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E2551\Liquiditätsmanagement\Funding\Deckungsstöcke\Reporting für Pfandbrief-Forum und Treuhänder\2020\2020-03\"/>
    </mc:Choice>
  </mc:AlternateContent>
  <xr:revisionPtr revIDLastSave="0" documentId="13_ncr:1_{B43CC345-D0BD-41C8-9717-569667295A9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Overview" sheetId="1" r:id="rId1"/>
    <sheet name="Primärdeckung" sheetId="2" r:id="rId2"/>
    <sheet name="Ersatzdeckung" sheetId="3" r:id="rId3"/>
    <sheet name="Language" sheetId="5" state="hidden" r:id="rId4"/>
  </sheets>
  <externalReferences>
    <externalReference r:id="rId5"/>
    <externalReference r:id="rId6"/>
    <externalReference r:id="rId7"/>
  </externalReferences>
  <definedNames>
    <definedName name="ANZAHL_ASSETS">Overview!$D$17</definedName>
    <definedName name="ANZAHL_EMISSIONEN">Overview!$D$31</definedName>
    <definedName name="ANZAHL_SCHULDNER">Overview!$D$18</definedName>
    <definedName name="_xlnm.Print_Area" localSheetId="2">Ersatzdeckung!$A$1:$E$63</definedName>
    <definedName name="_xlnm.Print_Area" localSheetId="0">Overview!$A$1:$E$33</definedName>
    <definedName name="_xlnm.Print_Area" localSheetId="1">Primärdeckung!$A$1:$H$151</definedName>
    <definedName name="GESAMTBETRAG_DECKUNG">Overview!$D$13</definedName>
    <definedName name="GESAMTBETRAG_EMISSIONEN">Overview!$D$12</definedName>
    <definedName name="Versions">[1]Language!$A$1:$A$2</definedName>
    <definedName name="Versions_L">Language!$A$2:$A$3</definedName>
    <definedName name="x">Overview!$D$12</definedName>
    <definedName name="xx">Overview!$D$31</definedName>
    <definedName name="xxx">Overview!$D$17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3" l="1"/>
  <c r="C26" i="3"/>
  <c r="C23" i="3"/>
  <c r="D18" i="3" s="1"/>
  <c r="D15" i="3"/>
  <c r="C15" i="3"/>
  <c r="D8" i="3"/>
  <c r="D9" i="3" s="1"/>
  <c r="H28" i="2"/>
  <c r="D28" i="2"/>
  <c r="D9" i="2"/>
  <c r="D6" i="2"/>
  <c r="C9" i="2"/>
  <c r="C6" i="2"/>
  <c r="D19" i="3" l="1"/>
  <c r="D21" i="3"/>
  <c r="D20" i="3"/>
  <c r="D22" i="3"/>
  <c r="C14" i="2"/>
  <c r="D14" i="2"/>
  <c r="C61" i="3"/>
  <c r="D33" i="3" s="1"/>
  <c r="H149" i="2"/>
  <c r="D149" i="2"/>
  <c r="D37" i="3" l="1"/>
  <c r="D59" i="3"/>
  <c r="D43" i="3"/>
  <c r="D23" i="3"/>
  <c r="D27" i="3"/>
  <c r="D50" i="3"/>
  <c r="D39" i="3"/>
  <c r="D54" i="3"/>
  <c r="D46" i="3"/>
  <c r="D52" i="3"/>
  <c r="D48" i="3"/>
  <c r="D40" i="3"/>
  <c r="D29" i="3"/>
  <c r="D36" i="3"/>
  <c r="D35" i="3"/>
  <c r="D28" i="3"/>
  <c r="D60" i="3"/>
  <c r="D31" i="3"/>
  <c r="D49" i="3"/>
  <c r="D38" i="3"/>
  <c r="D47" i="3"/>
  <c r="D41" i="3"/>
  <c r="D42" i="3"/>
  <c r="D30" i="3"/>
  <c r="D44" i="3"/>
  <c r="D45" i="3"/>
  <c r="D34" i="3"/>
  <c r="D32" i="3"/>
  <c r="D51" i="3"/>
  <c r="D53" i="3"/>
  <c r="G123" i="2"/>
  <c r="H122" i="2" s="1"/>
  <c r="C123" i="2"/>
  <c r="D122" i="2" s="1"/>
  <c r="C107" i="2"/>
  <c r="D105" i="2" s="1"/>
  <c r="F95" i="2"/>
  <c r="C83" i="2"/>
  <c r="F82" i="2" s="1"/>
  <c r="C34" i="2"/>
  <c r="C69" i="2"/>
  <c r="G82" i="2" s="1"/>
  <c r="D26" i="3" l="1"/>
  <c r="H118" i="2"/>
  <c r="H119" i="2"/>
  <c r="D118" i="2"/>
  <c r="D119" i="2"/>
  <c r="D120" i="2"/>
  <c r="D104" i="2"/>
  <c r="D102" i="2"/>
  <c r="D106" i="2"/>
  <c r="D103" i="2"/>
  <c r="F73" i="2"/>
  <c r="F78" i="2"/>
  <c r="F79" i="2"/>
  <c r="F76" i="2"/>
  <c r="F80" i="2"/>
  <c r="F74" i="2"/>
  <c r="F75" i="2"/>
  <c r="F77" i="2"/>
  <c r="F81" i="2"/>
  <c r="D53" i="2"/>
  <c r="D38" i="2"/>
  <c r="D47" i="2"/>
  <c r="D66" i="2"/>
  <c r="D50" i="2"/>
  <c r="D51" i="2"/>
  <c r="D35" i="2"/>
  <c r="D55" i="2"/>
  <c r="D57" i="2"/>
  <c r="G76" i="2"/>
  <c r="D52" i="2"/>
  <c r="D42" i="2"/>
  <c r="G80" i="2"/>
  <c r="D48" i="2"/>
  <c r="D67" i="2"/>
  <c r="G77" i="2"/>
  <c r="D59" i="2"/>
  <c r="D65" i="2"/>
  <c r="D49" i="2"/>
  <c r="D68" i="2"/>
  <c r="D36" i="2"/>
  <c r="G78" i="2"/>
  <c r="D39" i="2"/>
  <c r="D40" i="2"/>
  <c r="G79" i="2"/>
  <c r="D41" i="2"/>
  <c r="D43" i="2"/>
  <c r="D44" i="2"/>
  <c r="G73" i="2"/>
  <c r="G81" i="2"/>
  <c r="D64" i="2"/>
  <c r="D60" i="2"/>
  <c r="D45" i="2"/>
  <c r="D61" i="2"/>
  <c r="G75" i="2"/>
  <c r="D37" i="2"/>
  <c r="D54" i="2"/>
  <c r="D56" i="2"/>
  <c r="D58" i="2"/>
  <c r="D46" i="2"/>
  <c r="D62" i="2"/>
  <c r="G74" i="2"/>
  <c r="H120" i="2"/>
  <c r="H121" i="2"/>
  <c r="D121" i="2"/>
  <c r="G90" i="2"/>
  <c r="G94" i="2"/>
  <c r="G92" i="2"/>
  <c r="G93" i="2"/>
  <c r="G91" i="2"/>
  <c r="G88" i="2"/>
  <c r="G89" i="2"/>
  <c r="B61" i="3"/>
  <c r="B60" i="3"/>
  <c r="B59" i="3"/>
  <c r="B58" i="3"/>
  <c r="B57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D25" i="3"/>
  <c r="C25" i="3"/>
  <c r="B25" i="3"/>
  <c r="B23" i="3"/>
  <c r="B22" i="3"/>
  <c r="B21" i="3"/>
  <c r="B20" i="3"/>
  <c r="B19" i="3"/>
  <c r="B18" i="3"/>
  <c r="D17" i="3"/>
  <c r="C17" i="3"/>
  <c r="B17" i="3"/>
  <c r="B15" i="3"/>
  <c r="B14" i="3"/>
  <c r="B13" i="3"/>
  <c r="B12" i="3"/>
  <c r="D11" i="3"/>
  <c r="C11" i="3"/>
  <c r="B11" i="3"/>
  <c r="B9" i="3"/>
  <c r="B8" i="3"/>
  <c r="B7" i="3"/>
  <c r="B6" i="3"/>
  <c r="B5" i="3"/>
  <c r="D4" i="3"/>
  <c r="B4" i="3"/>
  <c r="B2" i="3"/>
  <c r="B1" i="3"/>
  <c r="F83" i="2" l="1"/>
  <c r="D123" i="2"/>
  <c r="D63" i="2"/>
  <c r="H123" i="2"/>
  <c r="D107" i="2"/>
  <c r="D34" i="2"/>
  <c r="D69" i="2" s="1"/>
  <c r="G83" i="2"/>
  <c r="G95" i="2"/>
  <c r="D58" i="3"/>
  <c r="D57" i="3"/>
  <c r="D56" i="3"/>
  <c r="D55" i="3" l="1"/>
  <c r="D61" i="3" s="1"/>
  <c r="P245" i="5"/>
  <c r="P244" i="5"/>
  <c r="P243" i="5"/>
  <c r="P242" i="5"/>
  <c r="P241" i="5"/>
  <c r="O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O211" i="5"/>
  <c r="O208" i="5"/>
  <c r="P207" i="5"/>
  <c r="P206" i="5"/>
  <c r="P205" i="5"/>
  <c r="P204" i="5"/>
  <c r="P203" i="5"/>
  <c r="P200" i="5"/>
  <c r="O200" i="5"/>
  <c r="P193" i="5"/>
  <c r="G245" i="5"/>
  <c r="G244" i="5"/>
  <c r="G243" i="5"/>
  <c r="G242" i="5"/>
  <c r="G241" i="5"/>
  <c r="F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F211" i="5"/>
  <c r="F208" i="5"/>
  <c r="G207" i="5"/>
  <c r="G206" i="5"/>
  <c r="G205" i="5"/>
  <c r="G204" i="5"/>
  <c r="G203" i="5"/>
  <c r="G200" i="5"/>
  <c r="F200" i="5"/>
  <c r="G193" i="5"/>
  <c r="B1" i="2"/>
  <c r="G240" i="5" l="1"/>
  <c r="P240" i="5"/>
  <c r="F246" i="5"/>
  <c r="O246" i="5"/>
  <c r="G211" i="5"/>
  <c r="P208" i="5"/>
  <c r="P211" i="5"/>
  <c r="G208" i="5"/>
  <c r="P246" i="5" l="1"/>
  <c r="G246" i="5"/>
  <c r="D141" i="2"/>
  <c r="H111" i="2"/>
  <c r="B139" i="2"/>
  <c r="B141" i="2"/>
  <c r="B142" i="2"/>
  <c r="B144" i="2"/>
  <c r="D144" i="2"/>
  <c r="F144" i="2"/>
  <c r="H144" i="2"/>
  <c r="B145" i="2"/>
  <c r="F145" i="2"/>
  <c r="B146" i="2"/>
  <c r="F146" i="2"/>
  <c r="B147" i="2"/>
  <c r="F147" i="2"/>
  <c r="B148" i="2"/>
  <c r="F148" i="2"/>
  <c r="B149" i="2"/>
  <c r="F149" i="2"/>
  <c r="F123" i="2"/>
  <c r="B123" i="2"/>
  <c r="F122" i="2"/>
  <c r="B122" i="2"/>
  <c r="F121" i="2"/>
  <c r="B121" i="2"/>
  <c r="F120" i="2"/>
  <c r="B120" i="2"/>
  <c r="F119" i="2"/>
  <c r="B119" i="2"/>
  <c r="F118" i="2"/>
  <c r="B118" i="2"/>
  <c r="H117" i="2"/>
  <c r="G117" i="2"/>
  <c r="F117" i="2"/>
  <c r="D117" i="2"/>
  <c r="C117" i="2"/>
  <c r="B117" i="2"/>
  <c r="B116" i="2"/>
  <c r="B114" i="2"/>
  <c r="B113" i="2"/>
  <c r="B112" i="2"/>
  <c r="B111" i="2"/>
  <c r="B109" i="2"/>
  <c r="B99" i="2"/>
  <c r="B97" i="2"/>
  <c r="B95" i="2"/>
  <c r="B94" i="2"/>
  <c r="B93" i="2"/>
  <c r="B92" i="2"/>
  <c r="B91" i="2"/>
  <c r="B90" i="2"/>
  <c r="B89" i="2"/>
  <c r="B88" i="2"/>
  <c r="G87" i="2"/>
  <c r="F87" i="2"/>
  <c r="B87" i="2"/>
  <c r="B85" i="2"/>
  <c r="B83" i="2"/>
  <c r="B82" i="2"/>
  <c r="B81" i="2"/>
  <c r="B80" i="2"/>
  <c r="B79" i="2"/>
  <c r="B78" i="2"/>
  <c r="B77" i="2"/>
  <c r="B76" i="2"/>
  <c r="B75" i="2"/>
  <c r="B74" i="2"/>
  <c r="B73" i="2"/>
  <c r="G72" i="2"/>
  <c r="F72" i="2"/>
  <c r="C72" i="2"/>
  <c r="B71" i="2"/>
  <c r="B69" i="2"/>
  <c r="B68" i="2"/>
  <c r="B67" i="2"/>
  <c r="B66" i="2"/>
  <c r="B65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D33" i="2"/>
  <c r="C33" i="2"/>
  <c r="B33" i="2"/>
  <c r="B31" i="2"/>
  <c r="F28" i="2"/>
  <c r="B28" i="2"/>
  <c r="F27" i="2"/>
  <c r="B27" i="2"/>
  <c r="F26" i="2"/>
  <c r="F25" i="2"/>
  <c r="F24" i="2"/>
  <c r="F23" i="2"/>
  <c r="H22" i="2"/>
  <c r="F22" i="2"/>
  <c r="D22" i="2"/>
  <c r="B22" i="2"/>
  <c r="B20" i="2"/>
  <c r="B19" i="2"/>
  <c r="B18" i="2"/>
  <c r="B16" i="2"/>
  <c r="B14" i="2"/>
  <c r="D5" i="2"/>
  <c r="C5" i="2"/>
  <c r="B4" i="2"/>
  <c r="B2" i="2"/>
  <c r="H1" i="2"/>
  <c r="P194" i="5" l="1"/>
  <c r="T183" i="5" l="1"/>
  <c r="P183" i="5"/>
  <c r="S157" i="5"/>
  <c r="O157" i="5"/>
  <c r="T156" i="5"/>
  <c r="P156" i="5"/>
  <c r="T155" i="5"/>
  <c r="P155" i="5"/>
  <c r="T154" i="5"/>
  <c r="P154" i="5"/>
  <c r="T153" i="5"/>
  <c r="P153" i="5"/>
  <c r="T152" i="5"/>
  <c r="P152" i="5"/>
  <c r="O141" i="5"/>
  <c r="P140" i="5"/>
  <c r="P139" i="5"/>
  <c r="P138" i="5"/>
  <c r="P137" i="5"/>
  <c r="P136" i="5"/>
  <c r="R129" i="5"/>
  <c r="S128" i="5"/>
  <c r="S127" i="5"/>
  <c r="S126" i="5"/>
  <c r="S125" i="5"/>
  <c r="S124" i="5"/>
  <c r="S123" i="5"/>
  <c r="S122" i="5"/>
  <c r="O117" i="5"/>
  <c r="S116" i="5"/>
  <c r="R116" i="5"/>
  <c r="S115" i="5"/>
  <c r="R115" i="5"/>
  <c r="S114" i="5"/>
  <c r="R114" i="5"/>
  <c r="S113" i="5"/>
  <c r="R113" i="5"/>
  <c r="S112" i="5"/>
  <c r="R112" i="5"/>
  <c r="S111" i="5"/>
  <c r="R111" i="5"/>
  <c r="S110" i="5"/>
  <c r="R110" i="5"/>
  <c r="S109" i="5"/>
  <c r="R109" i="5"/>
  <c r="S108" i="5"/>
  <c r="R108" i="5"/>
  <c r="S107" i="5"/>
  <c r="R107" i="5"/>
  <c r="P102" i="5"/>
  <c r="P101" i="5"/>
  <c r="P100" i="5"/>
  <c r="P99" i="5"/>
  <c r="P98" i="5"/>
  <c r="O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O68" i="5"/>
  <c r="T62" i="5"/>
  <c r="P62" i="5"/>
  <c r="P43" i="5"/>
  <c r="O43" i="5"/>
  <c r="P40" i="5"/>
  <c r="O40" i="5"/>
  <c r="S129" i="5" l="1"/>
  <c r="P68" i="5"/>
  <c r="S117" i="5"/>
  <c r="P141" i="5"/>
  <c r="P157" i="5"/>
  <c r="P48" i="5"/>
  <c r="P97" i="5"/>
  <c r="R117" i="5"/>
  <c r="T157" i="5"/>
  <c r="O103" i="5"/>
  <c r="O48" i="5"/>
  <c r="P103" i="5" l="1"/>
  <c r="K183" i="5"/>
  <c r="G183" i="5"/>
  <c r="J157" i="5"/>
  <c r="F157" i="5"/>
  <c r="K156" i="5"/>
  <c r="G156" i="5"/>
  <c r="K155" i="5"/>
  <c r="G155" i="5"/>
  <c r="K154" i="5"/>
  <c r="G154" i="5"/>
  <c r="K153" i="5"/>
  <c r="G153" i="5"/>
  <c r="K152" i="5"/>
  <c r="G152" i="5"/>
  <c r="F141" i="5"/>
  <c r="G140" i="5"/>
  <c r="G139" i="5"/>
  <c r="G138" i="5"/>
  <c r="G137" i="5"/>
  <c r="G136" i="5"/>
  <c r="I129" i="5"/>
  <c r="J128" i="5"/>
  <c r="J127" i="5"/>
  <c r="J126" i="5"/>
  <c r="J125" i="5"/>
  <c r="J124" i="5"/>
  <c r="J123" i="5"/>
  <c r="J122" i="5"/>
  <c r="F117" i="5"/>
  <c r="J116" i="5"/>
  <c r="I116" i="5"/>
  <c r="J115" i="5"/>
  <c r="I115" i="5"/>
  <c r="J114" i="5"/>
  <c r="I114" i="5"/>
  <c r="J113" i="5"/>
  <c r="I113" i="5"/>
  <c r="J112" i="5"/>
  <c r="I112" i="5"/>
  <c r="J111" i="5"/>
  <c r="I111" i="5"/>
  <c r="J110" i="5"/>
  <c r="I110" i="5"/>
  <c r="J109" i="5"/>
  <c r="I109" i="5"/>
  <c r="J108" i="5"/>
  <c r="I108" i="5"/>
  <c r="J107" i="5"/>
  <c r="I107" i="5"/>
  <c r="G102" i="5"/>
  <c r="G101" i="5"/>
  <c r="G100" i="5"/>
  <c r="G99" i="5"/>
  <c r="G98" i="5"/>
  <c r="F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F68" i="5"/>
  <c r="K62" i="5"/>
  <c r="G62" i="5"/>
  <c r="G43" i="5"/>
  <c r="F43" i="5"/>
  <c r="G40" i="5"/>
  <c r="F40" i="5"/>
  <c r="F48" i="5" l="1"/>
  <c r="G97" i="5"/>
  <c r="G68" i="5"/>
  <c r="G48" i="5"/>
  <c r="F103" i="5"/>
  <c r="I117" i="5"/>
  <c r="K157" i="5"/>
  <c r="J117" i="5"/>
  <c r="J129" i="5"/>
  <c r="G141" i="5"/>
  <c r="G157" i="5"/>
  <c r="C32" i="1"/>
  <c r="C21" i="1"/>
  <c r="C20" i="1"/>
  <c r="C13" i="1"/>
  <c r="C12" i="1"/>
  <c r="G103" i="5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8" i="1"/>
  <c r="B6" i="1"/>
  <c r="B3" i="1"/>
  <c r="B2" i="1"/>
</calcChain>
</file>

<file path=xl/sharedStrings.xml><?xml version="1.0" encoding="utf-8"?>
<sst xmlns="http://schemas.openxmlformats.org/spreadsheetml/2006/main" count="635" uniqueCount="320">
  <si>
    <t>Bank</t>
  </si>
  <si>
    <t>Report Datum</t>
  </si>
  <si>
    <t>Report Währung</t>
  </si>
  <si>
    <t>1.</t>
  </si>
  <si>
    <t xml:space="preserve">ÜBERBLICK </t>
  </si>
  <si>
    <t>Gesamtbetrag Emissionen in Umlauf</t>
  </si>
  <si>
    <t>Ratingagenturen</t>
  </si>
  <si>
    <t>Moody's</t>
  </si>
  <si>
    <t>Fitch</t>
  </si>
  <si>
    <t>S&amp;P</t>
  </si>
  <si>
    <t>Emittentenrating</t>
  </si>
  <si>
    <t>Deckungsstockrating</t>
  </si>
  <si>
    <t>Anzahl der Finanzierungen</t>
  </si>
  <si>
    <t>Anzahl der Schuldner</t>
  </si>
  <si>
    <t>Durchschnittliches Volumen der Deckungswerte pro Schuldner</t>
  </si>
  <si>
    <t>Durchschnittliches Volumen der Deckungswerte pro Finanzierung</t>
  </si>
  <si>
    <t>Nominelle Überdeckung (Gesamtdeckung/Emissionen im Umlauf in %)</t>
  </si>
  <si>
    <t>Anzahl der Emissionen</t>
  </si>
  <si>
    <t>Durchschnittliche Größe der Emissionen</t>
  </si>
  <si>
    <t>2.</t>
  </si>
  <si>
    <t>INFORMATIONEN ZUM DECKUNGSSTOCK (PRIMÄRDECKUNG)</t>
  </si>
  <si>
    <t>2.1</t>
  </si>
  <si>
    <t>Verteilung nach Kreditvolumen</t>
  </si>
  <si>
    <t>Primärdeckung nach Kreditvolumen</t>
  </si>
  <si>
    <t>Volumen</t>
  </si>
  <si>
    <t>Anzahl</t>
  </si>
  <si>
    <t>≤  300.000</t>
  </si>
  <si>
    <t>300.000 - 5.000.000</t>
  </si>
  <si>
    <t>1.000.000 - 5.000.000</t>
  </si>
  <si>
    <t>≥ 5.000.000</t>
  </si>
  <si>
    <t>Summe</t>
  </si>
  <si>
    <t>2.2</t>
  </si>
  <si>
    <t>Währungsverteilung nach Währungsderivaten</t>
  </si>
  <si>
    <t>Währungsderivate</t>
  </si>
  <si>
    <t>Primärdeckung</t>
  </si>
  <si>
    <t>in EUR</t>
  </si>
  <si>
    <t>in CHF</t>
  </si>
  <si>
    <t>in USD</t>
  </si>
  <si>
    <t xml:space="preserve">Sonstige </t>
  </si>
  <si>
    <t>Emissionen</t>
  </si>
  <si>
    <t>2.3</t>
  </si>
  <si>
    <t>%</t>
  </si>
  <si>
    <t>2.4</t>
  </si>
  <si>
    <t>Regionale Verteilung</t>
  </si>
  <si>
    <t>Primärdeckung nach Ländern in Europa</t>
  </si>
  <si>
    <t>EU Staaten</t>
  </si>
  <si>
    <t>Belgien</t>
  </si>
  <si>
    <t>Bulgarien</t>
  </si>
  <si>
    <t>Dänemark</t>
  </si>
  <si>
    <t>Deutschland</t>
  </si>
  <si>
    <t>Estland</t>
  </si>
  <si>
    <t>Finnland</t>
  </si>
  <si>
    <t>Frankreich</t>
  </si>
  <si>
    <t>Griechenland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</si>
  <si>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</si>
  <si>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</si>
  <si>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</si>
  <si>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</si>
  <si>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</si>
  <si>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</si>
  <si>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</si>
  <si>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</si>
  <si>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</si>
  <si>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</si>
  <si>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</si>
  <si>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</si>
  <si>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</si>
  <si>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</si>
  <si>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</si>
  <si>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</si>
  <si>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</si>
  <si>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Vereinigtes Königreich</t>
  </si>
  <si>
    <t>Zypern</t>
  </si>
  <si>
    <t>EWR Staaten</t>
  </si>
  <si>
    <t>Island</t>
  </si>
  <si>
    <t>Liechtenstein</t>
  </si>
  <si>
    <t>Norwegen</t>
  </si>
  <si>
    <t>Sonstige Länder</t>
  </si>
  <si>
    <t>Schweiz</t>
  </si>
  <si>
    <t>Primärdeckung nach Bundesländern in Österreich</t>
  </si>
  <si>
    <t>Anteil AT (%)</t>
  </si>
  <si>
    <t>Wien</t>
  </si>
  <si>
    <t>Niederösterreich</t>
  </si>
  <si>
    <t>Oberösterreich</t>
  </si>
  <si>
    <t>Salzburg</t>
  </si>
  <si>
    <t>Tirol</t>
  </si>
  <si>
    <t>Steiermark</t>
  </si>
  <si>
    <t>Kärnten</t>
  </si>
  <si>
    <t>Burgenland</t>
  </si>
  <si>
    <t>Vorarlberg</t>
  </si>
  <si>
    <t>2.5</t>
  </si>
  <si>
    <t>2.6</t>
  </si>
  <si>
    <t>≤ 12 Monate</t>
  </si>
  <si>
    <t>12 - 36 Monate</t>
  </si>
  <si>
    <t>36 - 60 Monate</t>
  </si>
  <si>
    <t>60 - 120 Monate</t>
  </si>
  <si>
    <t>≥ 120 Monate</t>
  </si>
  <si>
    <t>2.7</t>
  </si>
  <si>
    <t>Laufzeitenverteilung</t>
  </si>
  <si>
    <t>Gesamt</t>
  </si>
  <si>
    <t>Verteilung Zinsbindung nach Zinsderivaten</t>
  </si>
  <si>
    <t>Zinsderivate</t>
  </si>
  <si>
    <t>Fix, 1 - 2 Jahren</t>
  </si>
  <si>
    <t>Fix, 2 - 5 Jahren</t>
  </si>
  <si>
    <t>Fix,  &gt; 5 Jahren</t>
  </si>
  <si>
    <t>Fix, &gt; 5 Jahren</t>
  </si>
  <si>
    <t>3.</t>
  </si>
  <si>
    <t>INFORMATIONEN ZUR ERSATZDECKUNG</t>
  </si>
  <si>
    <t>Ersatzdeckung Überblick</t>
  </si>
  <si>
    <t>Wertpapiere des Anlagevermögens</t>
  </si>
  <si>
    <t>Wertpapiere nach Volumen</t>
  </si>
  <si>
    <t>≤  1.000.000</t>
  </si>
  <si>
    <t>Ersatzdeckung nach Währung</t>
  </si>
  <si>
    <t>EUR</t>
  </si>
  <si>
    <t>CHF</t>
  </si>
  <si>
    <t>USD</t>
  </si>
  <si>
    <t>Sonstige Währungen</t>
  </si>
  <si>
    <t>Gesamtdeckung  Anteil (%)</t>
  </si>
  <si>
    <t>A2</t>
  </si>
  <si>
    <t>A</t>
  </si>
  <si>
    <t>NR</t>
  </si>
  <si>
    <t>Seasoning der Primärdeckung</t>
  </si>
  <si>
    <t xml:space="preserve">    davon Nationalbank fähig</t>
  </si>
  <si>
    <t xml:space="preserve">    davon 0  - 100.000</t>
  </si>
  <si>
    <t xml:space="preserve">    davon 100.000 - 300.000</t>
  </si>
  <si>
    <t xml:space="preserve">    davon 300.000 - 500.000</t>
  </si>
  <si>
    <t xml:space="preserve">    davon 500.000 - 1.000.000</t>
  </si>
  <si>
    <t xml:space="preserve">    davon 1.000.000 - 5.000.000</t>
  </si>
  <si>
    <t>≤ 100k</t>
  </si>
  <si>
    <t>≤ 300k</t>
  </si>
  <si>
    <t>≤ 300 k</t>
  </si>
  <si>
    <t>≤ 500k</t>
  </si>
  <si>
    <t>≤ 1mn</t>
  </si>
  <si>
    <t>≤  5mn</t>
  </si>
  <si>
    <t>≥ 5mn</t>
  </si>
  <si>
    <t>CRD/ OGAW Richtlinien konform</t>
  </si>
  <si>
    <t>Ja</t>
  </si>
  <si>
    <t>in Millionen</t>
  </si>
  <si>
    <t>Barwertige Überdeckung (BW Gesamtdeckung/ BW Emissionen im Umlauf in %)</t>
  </si>
  <si>
    <t>Anteil der 10 größten Finanzierungen (% von Primärdeckung)</t>
  </si>
  <si>
    <t>Anteil endfällige Finanzierungen (% von Primärdeckung)</t>
  </si>
  <si>
    <t>Anteil Finanzierungen mit fixer Zinsbindung  &gt; 1 Jahr (% von Primärdeckung)</t>
  </si>
  <si>
    <t>Anteil der Forderungen in Zahlungsverzug von mind. 90 Tagen  (% von Primärdeckung)</t>
  </si>
  <si>
    <t>Anteil der Finanzierungen in Fremdwährung (% von Primärdeckung)</t>
  </si>
  <si>
    <t>Nominale der Derivate in Deckungsstock</t>
  </si>
  <si>
    <t>Währungsderivate in Deckungsstock</t>
  </si>
  <si>
    <t>WAL Emissionen (Endfälligkeit in Jahren)</t>
  </si>
  <si>
    <t>Laufzeitenverteilung (in Monaten vertraglich)</t>
  </si>
  <si>
    <t>Zinsderivate in Deckungsstock</t>
  </si>
  <si>
    <t>Geld, Einlagen</t>
  </si>
  <si>
    <t>Verteilung nach Ländern</t>
  </si>
  <si>
    <t>Öffentliche Pfandbriefe bzw. öffentliche fundierte Bankschuldverschreibungen</t>
  </si>
  <si>
    <t>Anteil EZB fähiger Forderungen und Wertpapiere (% der Gesamtdeckung)</t>
  </si>
  <si>
    <t>Anzahl der Garanten</t>
  </si>
  <si>
    <t>Gemeinde</t>
  </si>
  <si>
    <t>Bundesland</t>
  </si>
  <si>
    <t>Haftung Subsouverän Bundesland</t>
  </si>
  <si>
    <t>Haftung Staat</t>
  </si>
  <si>
    <t>Staat</t>
  </si>
  <si>
    <t>Haftung Subsouverän Gemeinde</t>
  </si>
  <si>
    <t>Primärdeckung nach Art des Schuldners/Garanten</t>
  </si>
  <si>
    <t>Verteilung nach Art des Schuldners/Garanten</t>
  </si>
  <si>
    <t>Seasoning</t>
  </si>
  <si>
    <t>Ersatzdeckung (% von Emissionen)</t>
  </si>
  <si>
    <t>Republik Österreich</t>
  </si>
  <si>
    <t>Gesamtbetrag der Deckungswerte (Gesamtdeckung Nominale)</t>
  </si>
  <si>
    <t>in JPY</t>
  </si>
  <si>
    <t>JPY</t>
  </si>
  <si>
    <t>Sonstige</t>
  </si>
  <si>
    <t>Name des Pfandbriefemittenten</t>
  </si>
  <si>
    <t>Anzeigeeinheit in Mio. EUR - ausgenommen "Anzahl"</t>
  </si>
  <si>
    <t>Anteil der Emissionen in Fremdwährung (in %)</t>
  </si>
  <si>
    <t>WAL - Durchschnittlich gewichtete Restlaufzeit der Primärdeckung
(in Jahren inkl. vertraglich vereinbarter Tilgungen)</t>
  </si>
  <si>
    <t>WAL - Durchschnittlich gewichtete Restlaufzeit der Primärdeckung (in Jahren vertraglich)</t>
  </si>
  <si>
    <t>Anteil der 10 größten Garanten (% von Primärdeckung)</t>
  </si>
  <si>
    <t>Variabel, fix unterjährig</t>
  </si>
  <si>
    <t>Kroatien</t>
  </si>
  <si>
    <t>Gewichtetes Durchschnittsseasoning der Deckungswerte (in Jahren)</t>
  </si>
  <si>
    <t>Report Date</t>
  </si>
  <si>
    <t>Report Currency</t>
  </si>
  <si>
    <t>Public Pfandbrief or Public Covered Bond (fundierte Bankschuldverschreibung)</t>
  </si>
  <si>
    <t>OVERVIEW</t>
  </si>
  <si>
    <t>CRD/ UCITS compliant</t>
  </si>
  <si>
    <t>yes</t>
  </si>
  <si>
    <t>Share of ECB eligible cover assets (in % of total cover pool)</t>
  </si>
  <si>
    <t>Total amount of outstanding issues</t>
  </si>
  <si>
    <t>in mn</t>
  </si>
  <si>
    <t xml:space="preserve">Total amount of cover assets </t>
  </si>
  <si>
    <t>Rating agencies</t>
  </si>
  <si>
    <t>Issuer rating</t>
  </si>
  <si>
    <t>Cover pool rating</t>
  </si>
  <si>
    <t>Number of loans</t>
  </si>
  <si>
    <t>Number of borrowers</t>
  </si>
  <si>
    <t>Number of garantors</t>
  </si>
  <si>
    <t>Average exposure per borrower</t>
  </si>
  <si>
    <t>Average loan amount</t>
  </si>
  <si>
    <t>Share of non-performing loans with at least 90 days past due (% of primary cover pool)</t>
  </si>
  <si>
    <t>Share of 10 largest loans (% of primary cover pool)</t>
  </si>
  <si>
    <t>Share of 10 largest exposures by borrower/ garantor (% of primary cover pool)</t>
  </si>
  <si>
    <t>Share of bullet loans (% of primary cover pool)</t>
  </si>
  <si>
    <t>Share of loans in foreign currency (% of primary cover pool)</t>
  </si>
  <si>
    <t>Share of issues in foreign currency (% of primary cover pool)</t>
  </si>
  <si>
    <t>Share of loans with fixed interest rate for longer than 1 year  (% of primary cover pool)</t>
  </si>
  <si>
    <t>Nominal over-collateralisation (total cover pool / outstanding issues in %)</t>
  </si>
  <si>
    <t>Present value over-collateralisation (PV total cover pool / PV outstanding issues in %)</t>
  </si>
  <si>
    <t>Number of issues</t>
  </si>
  <si>
    <t>Average issue size</t>
  </si>
  <si>
    <t>DE</t>
  </si>
  <si>
    <t>EN</t>
  </si>
  <si>
    <t>Nein</t>
  </si>
  <si>
    <t>n.p.</t>
  </si>
  <si>
    <t>n.v.</t>
  </si>
  <si>
    <t>no</t>
  </si>
  <si>
    <t>INFORMATION ON PRIMARY COVER POOL</t>
  </si>
  <si>
    <t>display unit in mn - except "number"</t>
  </si>
  <si>
    <t>Distribution by loan size</t>
  </si>
  <si>
    <t>Primary cover pool by loan size</t>
  </si>
  <si>
    <t>volume</t>
  </si>
  <si>
    <t>number</t>
  </si>
  <si>
    <t xml:space="preserve">    thereof 0  - 100.000</t>
  </si>
  <si>
    <t xml:space="preserve">    thereof 100.000 - 300.000</t>
  </si>
  <si>
    <t xml:space="preserve">    thereof 300.000 - 500.000</t>
  </si>
  <si>
    <t xml:space="preserve">    thereof 500.000 - 1.000.000</t>
  </si>
  <si>
    <t xml:space="preserve">    thereof 1.000.000 - 5.000.000</t>
  </si>
  <si>
    <t>Total</t>
  </si>
  <si>
    <t>Distribution by currencies after cover pool FX derivatives</t>
  </si>
  <si>
    <t>FX derivatives</t>
  </si>
  <si>
    <t>FX derivatives in cover pool</t>
  </si>
  <si>
    <t>yes/no</t>
  </si>
  <si>
    <t>nominal of FX derivatives</t>
  </si>
  <si>
    <t>Primary cover pool</t>
  </si>
  <si>
    <t>Issues</t>
  </si>
  <si>
    <t>Other</t>
  </si>
  <si>
    <t>Regional distribution</t>
  </si>
  <si>
    <t xml:space="preserve">Regional distribution </t>
  </si>
  <si>
    <t>EU member states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</si>
  <si>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</si>
  <si>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</si>
  <si>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</si>
  <si>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</si>
  <si>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</si>
  <si>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</si>
  <si>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</si>
  <si>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</si>
  <si>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France</t>
  </si>
  <si>
    <t>Germany</t>
  </si>
  <si>
    <t>Greece</t>
  </si>
  <si>
    <t>Hungary</t>
  </si>
  <si>
    <t>Italy</t>
  </si>
  <si>
    <t>Latvia</t>
  </si>
  <si>
    <t>Lituania</t>
  </si>
  <si>
    <t>Luxembourg</t>
  </si>
  <si>
    <t>Poland</t>
  </si>
  <si>
    <t>Romania</t>
  </si>
  <si>
    <t>Slovakia</t>
  </si>
  <si>
    <t>Slovenia</t>
  </si>
  <si>
    <t>Spain</t>
  </si>
  <si>
    <t>Sweden</t>
  </si>
  <si>
    <t>The Netherlands</t>
  </si>
  <si>
    <t>UK</t>
  </si>
  <si>
    <t>EEA member states</t>
  </si>
  <si>
    <t>Norway</t>
  </si>
  <si>
    <t>other countries</t>
  </si>
  <si>
    <t>Switzerland</t>
  </si>
  <si>
    <t>Regional distribution in Austria</t>
  </si>
  <si>
    <t>Share in AT</t>
  </si>
  <si>
    <t>Share in total</t>
  </si>
  <si>
    <t>Republic of Austria</t>
  </si>
  <si>
    <t>Vienna</t>
  </si>
  <si>
    <t>Lower Austria</t>
  </si>
  <si>
    <t>Upper Austria</t>
  </si>
  <si>
    <t>Tyrol</t>
  </si>
  <si>
    <t>Styria</t>
  </si>
  <si>
    <t>Carinthia</t>
  </si>
  <si>
    <t>Distribution by type of borrower/ garantor</t>
  </si>
  <si>
    <t>Direct claim against sovereign</t>
  </si>
  <si>
    <t>Direct claim against region / federal state</t>
  </si>
  <si>
    <t>Direct claim against municipality</t>
  </si>
  <si>
    <t>Claim with guarantee of sovereign</t>
  </si>
  <si>
    <t>Claim with guarantee of region / federal state</t>
  </si>
  <si>
    <t>Claim with guarantee of municipality</t>
  </si>
  <si>
    <t>Others</t>
  </si>
  <si>
    <t>WA seasoning (in years)</t>
  </si>
  <si>
    <t>≤ 12 months</t>
  </si>
  <si>
    <t>12 - 36 months</t>
  </si>
  <si>
    <t>36 - 60 months</t>
  </si>
  <si>
    <t>60 - 120 months</t>
  </si>
  <si>
    <t>≥ 120 months</t>
  </si>
  <si>
    <t>Distribution by tenor</t>
  </si>
  <si>
    <t>in years</t>
  </si>
  <si>
    <t>WA residual life (incl. contractural amortisation)</t>
  </si>
  <si>
    <t>WA residual life (final legal maturity)</t>
  </si>
  <si>
    <t>WA residual life of issues (final legal maturity)</t>
  </si>
  <si>
    <t>Distribution by tenor (final legal maturity)</t>
  </si>
  <si>
    <t>Distribution by type of interest after cover pool IR derivatives</t>
  </si>
  <si>
    <t>IR derivatives</t>
  </si>
  <si>
    <t>IR derivatives in cover pool</t>
  </si>
  <si>
    <t>Variable, fixed rate during the year</t>
  </si>
  <si>
    <t>Fixed rate, 1 - 2 years</t>
  </si>
  <si>
    <t>Fixed rate, 2 - 5 years</t>
  </si>
  <si>
    <t>Fixed rate, &gt; 5 years</t>
  </si>
  <si>
    <t>'2.7</t>
  </si>
  <si>
    <t>in Jahren</t>
  </si>
  <si>
    <t>n.a.</t>
  </si>
  <si>
    <t>INFORMATION ON ADDITIONAL COVER POOL</t>
  </si>
  <si>
    <t>Overview</t>
  </si>
  <si>
    <t>Cash, deposits</t>
  </si>
  <si>
    <t>Bonds</t>
  </si>
  <si>
    <t xml:space="preserve">    thereof National Bank eligible</t>
  </si>
  <si>
    <t>Additional cover pool (in % of total issues)</t>
  </si>
  <si>
    <t>Bonds by volume</t>
  </si>
  <si>
    <t>Additional cover pool by currencies</t>
  </si>
  <si>
    <t>Other currencies</t>
  </si>
  <si>
    <t>Regional distribution of additional cover pool</t>
  </si>
  <si>
    <t>Aa1</t>
  </si>
  <si>
    <t>HYPO NOE Landesbank für Niederösterreich und Wien AG</t>
  </si>
  <si>
    <t>Yes</t>
  </si>
  <si>
    <t>n.r.</t>
  </si>
  <si>
    <t>No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</si>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</sst>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-;\-* #,##0.00_-;_-* &quot;-&quot;??_-;_-@_-"/>
    <numFmt numFmtId="165" formatCode="#,##0,,"/>
    <numFmt numFmtId="166" formatCode="#,##0.0,,"/>
    <numFmt numFmtId="167" formatCode="#,##0.00,,"/>
    <numFmt numFmtId="168" formatCode="#,##0.0"/>
    <numFmt numFmtId="169" formatCode="0.0"/>
    <numFmt numFmtId="170" formatCode="0.0%"/>
    <numFmt numFmtId="171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3" fillId="2" borderId="10" xfId="0" applyFont="1" applyFill="1" applyBorder="1"/>
    <xf numFmtId="3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3" borderId="10" xfId="0" applyFont="1" applyFill="1" applyBorder="1"/>
    <xf numFmtId="0" fontId="4" fillId="3" borderId="2" xfId="0" applyFont="1" applyFill="1" applyBorder="1"/>
    <xf numFmtId="0" fontId="4" fillId="3" borderId="4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0" xfId="0" applyFont="1" applyFill="1" applyBorder="1"/>
    <xf numFmtId="3" fontId="4" fillId="3" borderId="11" xfId="0" applyNumberFormat="1" applyFont="1" applyFill="1" applyBorder="1" applyAlignment="1">
      <alignment horizontal="center"/>
    </xf>
    <xf numFmtId="0" fontId="0" fillId="2" borderId="13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4" fillId="3" borderId="3" xfId="0" applyFont="1" applyFill="1" applyBorder="1"/>
    <xf numFmtId="0" fontId="4" fillId="3" borderId="4" xfId="0" applyFont="1" applyFill="1" applyBorder="1"/>
    <xf numFmtId="0" fontId="3" fillId="2" borderId="11" xfId="0" applyFont="1" applyFill="1" applyBorder="1"/>
    <xf numFmtId="0" fontId="4" fillId="3" borderId="11" xfId="0" applyFont="1" applyFill="1" applyBorder="1"/>
    <xf numFmtId="0" fontId="4" fillId="3" borderId="10" xfId="0" applyFont="1" applyFill="1" applyBorder="1" applyAlignment="1"/>
    <xf numFmtId="0" fontId="4" fillId="3" borderId="11" xfId="0" applyFont="1" applyFill="1" applyBorder="1" applyAlignment="1"/>
    <xf numFmtId="0" fontId="5" fillId="2" borderId="0" xfId="0" applyFont="1" applyFill="1"/>
    <xf numFmtId="0" fontId="5" fillId="2" borderId="13" xfId="0" applyFont="1" applyFill="1" applyBorder="1"/>
    <xf numFmtId="0" fontId="0" fillId="2" borderId="11" xfId="0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2" borderId="10" xfId="0" applyFill="1" applyBorder="1"/>
    <xf numFmtId="0" fontId="2" fillId="3" borderId="10" xfId="0" applyFont="1" applyFill="1" applyBorder="1"/>
    <xf numFmtId="0" fontId="2" fillId="3" borderId="7" xfId="0" applyFont="1" applyFill="1" applyBorder="1"/>
    <xf numFmtId="0" fontId="2" fillId="2" borderId="10" xfId="0" applyFont="1" applyFill="1" applyBorder="1"/>
    <xf numFmtId="0" fontId="5" fillId="2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9" fontId="0" fillId="2" borderId="12" xfId="0" applyNumberFormat="1" applyFill="1" applyBorder="1" applyAlignment="1">
      <alignment horizontal="center"/>
    </xf>
    <xf numFmtId="9" fontId="2" fillId="3" borderId="9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9" fontId="2" fillId="2" borderId="12" xfId="0" applyNumberFormat="1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 applyAlignment="1">
      <alignment horizontal="center"/>
    </xf>
    <xf numFmtId="0" fontId="8" fillId="2" borderId="11" xfId="0" applyFont="1" applyFill="1" applyBorder="1"/>
    <xf numFmtId="0" fontId="4" fillId="3" borderId="8" xfId="0" applyFont="1" applyFill="1" applyBorder="1"/>
    <xf numFmtId="0" fontId="4" fillId="2" borderId="6" xfId="0" applyFont="1" applyFill="1" applyBorder="1"/>
    <xf numFmtId="0" fontId="9" fillId="2" borderId="6" xfId="0" applyFont="1" applyFill="1" applyBorder="1"/>
    <xf numFmtId="0" fontId="10" fillId="2" borderId="6" xfId="0" applyFont="1" applyFill="1" applyBorder="1"/>
    <xf numFmtId="16" fontId="0" fillId="2" borderId="13" xfId="0" quotePrefix="1" applyNumberFormat="1" applyFont="1" applyFill="1" applyBorder="1"/>
    <xf numFmtId="0" fontId="0" fillId="2" borderId="13" xfId="0" quotePrefix="1" applyFont="1" applyFill="1" applyBorder="1"/>
    <xf numFmtId="9" fontId="2" fillId="3" borderId="12" xfId="1" applyFont="1" applyFill="1" applyBorder="1" applyAlignment="1">
      <alignment horizontal="center"/>
    </xf>
    <xf numFmtId="9" fontId="4" fillId="2" borderId="12" xfId="1" applyFon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4" fontId="3" fillId="2" borderId="12" xfId="2" applyFon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2" fillId="2" borderId="0" xfId="0" applyFont="1" applyFill="1" applyBorder="1"/>
    <xf numFmtId="165" fontId="4" fillId="3" borderId="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165" fontId="0" fillId="2" borderId="11" xfId="0" applyNumberFormat="1" applyFont="1" applyFill="1" applyBorder="1" applyAlignment="1">
      <alignment horizontal="center"/>
    </xf>
    <xf numFmtId="9" fontId="0" fillId="2" borderId="1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5" fillId="0" borderId="13" xfId="0" applyFont="1" applyFill="1" applyBorder="1"/>
    <xf numFmtId="0" fontId="5" fillId="0" borderId="0" xfId="0" applyFont="1" applyFill="1"/>
    <xf numFmtId="0" fontId="0" fillId="0" borderId="13" xfId="0" applyFill="1" applyBorder="1"/>
    <xf numFmtId="0" fontId="0" fillId="0" borderId="0" xfId="0" applyFont="1" applyFill="1"/>
    <xf numFmtId="14" fontId="0" fillId="0" borderId="8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0" fillId="0" borderId="11" xfId="0" applyFont="1" applyFill="1" applyBorder="1"/>
    <xf numFmtId="167" fontId="0" fillId="0" borderId="11" xfId="2" applyNumberFormat="1" applyFont="1" applyFill="1" applyBorder="1" applyAlignment="1">
      <alignment horizontal="center"/>
    </xf>
    <xf numFmtId="0" fontId="3" fillId="0" borderId="10" xfId="0" applyFont="1" applyFill="1" applyBorder="1"/>
    <xf numFmtId="165" fontId="3" fillId="0" borderId="11" xfId="0" applyNumberFormat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0" fontId="3" fillId="0" borderId="0" xfId="0" applyFont="1" applyFill="1"/>
    <xf numFmtId="165" fontId="4" fillId="0" borderId="11" xfId="0" applyNumberFormat="1" applyFont="1" applyFill="1" applyBorder="1" applyAlignment="1">
      <alignment horizontal="center"/>
    </xf>
    <xf numFmtId="9" fontId="4" fillId="0" borderId="12" xfId="1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3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168" fontId="3" fillId="0" borderId="12" xfId="0" applyNumberFormat="1" applyFont="1" applyFill="1" applyBorder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168" fontId="3" fillId="2" borderId="1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13" fillId="2" borderId="0" xfId="0" applyFont="1" applyFill="1"/>
    <xf numFmtId="9" fontId="2" fillId="2" borderId="12" xfId="1" applyFont="1" applyFill="1" applyBorder="1" applyAlignment="1">
      <alignment horizontal="center"/>
    </xf>
    <xf numFmtId="0" fontId="0" fillId="2" borderId="10" xfId="0" applyFont="1" applyFill="1" applyBorder="1"/>
    <xf numFmtId="9" fontId="0" fillId="2" borderId="12" xfId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16" fillId="2" borderId="0" xfId="0" applyFont="1" applyFill="1"/>
    <xf numFmtId="0" fontId="6" fillId="0" borderId="13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4" fontId="0" fillId="2" borderId="14" xfId="0" applyNumberFormat="1" applyFont="1" applyFill="1" applyBorder="1" applyAlignment="1">
      <alignment horizontal="center"/>
    </xf>
    <xf numFmtId="171" fontId="0" fillId="0" borderId="11" xfId="0" applyNumberFormat="1" applyFill="1" applyBorder="1"/>
    <xf numFmtId="0" fontId="6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0" xfId="0" applyFont="1" applyFill="1" applyBorder="1"/>
    <xf numFmtId="165" fontId="4" fillId="4" borderId="11" xfId="0" applyNumberFormat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0" fontId="12" fillId="2" borderId="0" xfId="0" applyFont="1" applyFill="1"/>
    <xf numFmtId="0" fontId="5" fillId="2" borderId="15" xfId="0" applyFont="1" applyFill="1" applyBorder="1" applyAlignment="1"/>
    <xf numFmtId="0" fontId="8" fillId="0" borderId="11" xfId="0" applyFont="1" applyFill="1" applyBorder="1"/>
    <xf numFmtId="3" fontId="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/>
    <xf numFmtId="3" fontId="3" fillId="0" borderId="11" xfId="0" applyNumberFormat="1" applyFont="1" applyFill="1" applyBorder="1" applyAlignment="1">
      <alignment horizontal="center"/>
    </xf>
    <xf numFmtId="165" fontId="4" fillId="4" borderId="9" xfId="0" applyNumberFormat="1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167" fontId="1" fillId="0" borderId="11" xfId="2" applyNumberFormat="1" applyFont="1" applyFill="1" applyBorder="1" applyAlignment="1">
      <alignment horizontal="center"/>
    </xf>
    <xf numFmtId="0" fontId="4" fillId="4" borderId="11" xfId="0" applyFont="1" applyFill="1" applyBorder="1"/>
    <xf numFmtId="9" fontId="4" fillId="4" borderId="11" xfId="1" applyFont="1" applyFill="1" applyBorder="1" applyAlignment="1">
      <alignment horizontal="center"/>
    </xf>
    <xf numFmtId="9" fontId="3" fillId="0" borderId="11" xfId="1" applyFont="1" applyFill="1" applyBorder="1" applyAlignment="1">
      <alignment horizontal="center"/>
    </xf>
    <xf numFmtId="165" fontId="4" fillId="4" borderId="12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9" fontId="2" fillId="4" borderId="12" xfId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12" xfId="0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9" fontId="2" fillId="4" borderId="9" xfId="0" applyNumberFormat="1" applyFon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9" fontId="3" fillId="0" borderId="11" xfId="1" applyFont="1" applyFill="1" applyBorder="1" applyAlignment="1">
      <alignment horizontal="center"/>
    </xf>
    <xf numFmtId="9" fontId="3" fillId="0" borderId="12" xfId="1" applyFont="1" applyFill="1" applyBorder="1" applyAlignment="1">
      <alignment horizontal="center"/>
    </xf>
    <xf numFmtId="9" fontId="4" fillId="4" borderId="11" xfId="1" applyFont="1" applyFill="1" applyBorder="1" applyAlignment="1">
      <alignment horizontal="center"/>
    </xf>
    <xf numFmtId="9" fontId="4" fillId="4" borderId="12" xfId="1" applyFont="1" applyFill="1" applyBorder="1" applyAlignment="1">
      <alignment horizontal="center"/>
    </xf>
    <xf numFmtId="169" fontId="4" fillId="2" borderId="11" xfId="0" applyNumberFormat="1" applyFont="1" applyFill="1" applyBorder="1" applyAlignment="1">
      <alignment horizontal="center"/>
    </xf>
    <xf numFmtId="169" fontId="4" fillId="2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9" fontId="4" fillId="3" borderId="11" xfId="1" applyFont="1" applyFill="1" applyBorder="1" applyAlignment="1">
      <alignment horizontal="center"/>
    </xf>
    <xf numFmtId="9" fontId="4" fillId="3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9" fontId="3" fillId="2" borderId="11" xfId="1" applyFont="1" applyFill="1" applyBorder="1" applyAlignment="1">
      <alignment horizontal="center"/>
    </xf>
    <xf numFmtId="9" fontId="3" fillId="2" borderId="12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/>
    <xf numFmtId="0" fontId="3" fillId="2" borderId="11" xfId="0" applyFont="1" applyFill="1" applyBorder="1" applyAlignment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6FC10"/>
      <color rgb="FF1763DF"/>
      <color rgb="FF1455BE"/>
      <color rgb="FF0C34FC"/>
      <color rgb="FF0033CC"/>
      <color rgb="FFF3D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65658042744656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537820639.5</c:v>
                </c:pt>
                <c:pt idx="1">
                  <c:v>1030974532.33</c:v>
                </c:pt>
                <c:pt idx="2">
                  <c:v>266002371.69</c:v>
                </c:pt>
                <c:pt idx="3">
                  <c:v>1134982694.76</c:v>
                </c:pt>
                <c:pt idx="4">
                  <c:v>1247588852.6591308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4-4A17-A842-6A07E516E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86048"/>
        <c:axId val="281084672"/>
      </c:barChart>
      <c:catAx>
        <c:axId val="262786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/>
            </a:pPr>
            <a:endParaRPr lang="de-DE"/>
          </a:p>
        </c:txPr>
        <c:crossAx val="281084672"/>
        <c:crosses val="autoZero"/>
        <c:auto val="1"/>
        <c:lblAlgn val="ctr"/>
        <c:lblOffset val="100"/>
        <c:noMultiLvlLbl val="0"/>
      </c:catAx>
      <c:valAx>
        <c:axId val="281084672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6278604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765598956.77139819</c:v>
                </c:pt>
                <c:pt idx="1">
                  <c:v>296747467.26620686</c:v>
                </c:pt>
                <c:pt idx="2">
                  <c:v>245792987.97</c:v>
                </c:pt>
                <c:pt idx="3">
                  <c:v>368242816.76999998</c:v>
                </c:pt>
                <c:pt idx="4">
                  <c:v>651384553.80104864</c:v>
                </c:pt>
                <c:pt idx="5">
                  <c:v>1889602308.3604772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62D-B11D-58452AC5A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2928"/>
        <c:axId val="284559616"/>
      </c:barChart>
      <c:catAx>
        <c:axId val="2844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559616"/>
        <c:crosses val="autoZero"/>
        <c:auto val="1"/>
        <c:lblAlgn val="ctr"/>
        <c:lblOffset val="100"/>
        <c:noMultiLvlLbl val="0"/>
      </c:catAx>
      <c:valAx>
        <c:axId val="284559616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4129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31321937562334E-2"/>
          <c:y val="4.1963888228511784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Primärdeckung!$B$117</c:f>
              <c:strCache>
                <c:ptCount val="1"/>
                <c:pt idx="0">
                  <c:v>Primary cover pool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105415666.76000001</c:v>
                </c:pt>
                <c:pt idx="1">
                  <c:v>203355804.75104865</c:v>
                </c:pt>
                <c:pt idx="2">
                  <c:v>232419787.13122812</c:v>
                </c:pt>
                <c:pt idx="3">
                  <c:v>606009903.65999997</c:v>
                </c:pt>
                <c:pt idx="4">
                  <c:v>3070167928.6368537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3-4B12-8E4D-59A7EBCEF2AF}"/>
            </c:ext>
          </c:extLst>
        </c:ser>
        <c:ser>
          <c:idx val="1"/>
          <c:order val="1"/>
          <c:tx>
            <c:strRef>
              <c:f>Primärdeckung!$F$117</c:f>
              <c:strCache>
                <c:ptCount val="1"/>
                <c:pt idx="0">
                  <c:v>Issues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535000000</c:v>
                </c:pt>
                <c:pt idx="1">
                  <c:v>632932113.51999998</c:v>
                </c:pt>
                <c:pt idx="2">
                  <c:v>550150000</c:v>
                </c:pt>
                <c:pt idx="3">
                  <c:v>1555000000</c:v>
                </c:pt>
                <c:pt idx="4">
                  <c:v>463435034.29000002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93-4B12-8E4D-59A7EBCE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608576"/>
        <c:axId val="321056768"/>
      </c:barChart>
      <c:catAx>
        <c:axId val="2856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21056768"/>
        <c:crosses val="autoZero"/>
        <c:auto val="1"/>
        <c:lblAlgn val="ctr"/>
        <c:lblOffset val="100"/>
        <c:noMultiLvlLbl val="0"/>
      </c:catAx>
      <c:valAx>
        <c:axId val="3210567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5608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7687236062"/>
          <c:y val="2.3990152013970402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v>volume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40000000</c:v>
              </c:pt>
              <c:pt idx="2">
                <c:v>80000000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D62D-43BD-B2AF-15A27E970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10688"/>
        <c:axId val="330094080"/>
      </c:barChart>
      <c:catAx>
        <c:axId val="322610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30094080"/>
        <c:crosses val="autoZero"/>
        <c:auto val="1"/>
        <c:lblAlgn val="ctr"/>
        <c:lblOffset val="100"/>
        <c:noMultiLvlLbl val="0"/>
      </c:catAx>
      <c:valAx>
        <c:axId val="33009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61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51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6"/>
              <c:pt idx="0">
                <c:v>≤ 100k</c:v>
              </c:pt>
              <c:pt idx="1">
                <c:v>≤ 300 k</c:v>
              </c:pt>
              <c:pt idx="2">
                <c:v>≤ 500k</c:v>
              </c:pt>
              <c:pt idx="3">
                <c:v>≤ 1mn</c:v>
              </c:pt>
              <c:pt idx="4">
                <c:v>≤  5mn</c:v>
              </c:pt>
              <c:pt idx="5">
                <c:v>≥ 5mn</c:v>
              </c:pt>
            </c:strLit>
          </c:cat>
          <c:val>
            <c:numLit>
              <c:formatCode>General</c:formatCode>
              <c:ptCount val="6"/>
              <c:pt idx="0">
                <c:v>350000000</c:v>
              </c:pt>
              <c:pt idx="1">
                <c:v>150000000</c:v>
              </c:pt>
              <c:pt idx="2">
                <c:v>140000000</c:v>
              </c:pt>
              <c:pt idx="3">
                <c:v>350000000</c:v>
              </c:pt>
              <c:pt idx="4">
                <c:v>210000000</c:v>
              </c:pt>
              <c:pt idx="5">
                <c:v>200000000</c:v>
              </c:pt>
            </c:numLit>
          </c:val>
          <c:extLst>
            <c:ext xmlns:c16="http://schemas.microsoft.com/office/drawing/2014/chart" uri="{C3380CC4-5D6E-409C-BE32-E72D297353CC}">
              <c16:uniqueId val="{00000000-C6B3-4058-84C2-7785A450E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02720"/>
        <c:axId val="284370048"/>
      </c:barChart>
      <c:catAx>
        <c:axId val="37390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370048"/>
        <c:crosses val="autoZero"/>
        <c:auto val="1"/>
        <c:lblAlgn val="ctr"/>
        <c:lblOffset val="100"/>
        <c:noMultiLvlLbl val="0"/>
      </c:catAx>
      <c:valAx>
        <c:axId val="28437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739027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5938E-2"/>
          <c:y val="3.6694893386330439E-2"/>
          <c:w val="0.90127590219349041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Primary cover pool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Lit>
              <c:ptCount val="5"/>
              <c:pt idx="0">
                <c:v>≤ 12 months</c:v>
              </c:pt>
              <c:pt idx="1">
                <c:v>12 - 36 months</c:v>
              </c:pt>
              <c:pt idx="2">
                <c:v>36 - 60 months</c:v>
              </c:pt>
              <c:pt idx="3">
                <c:v>60 - 120 months</c:v>
              </c:pt>
              <c:pt idx="4">
                <c:v>≥ 120 months</c:v>
              </c:pt>
            </c:strLit>
          </c:cat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0-7F78-4106-A07C-45805B025587}"/>
            </c:ext>
          </c:extLst>
        </c:ser>
        <c:ser>
          <c:idx val="1"/>
          <c:order val="1"/>
          <c:tx>
            <c:v>Issues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Lit>
              <c:formatCode>General</c:formatCode>
              <c:ptCount val="5"/>
              <c:pt idx="0">
                <c:v>20000000</c:v>
              </c:pt>
              <c:pt idx="1">
                <c:v>80000000</c:v>
              </c:pt>
              <c:pt idx="2">
                <c:v>20000000</c:v>
              </c:pt>
              <c:pt idx="3">
                <c:v>20000000</c:v>
              </c:pt>
              <c:pt idx="4">
                <c:v>20000000</c:v>
              </c:pt>
            </c:numLit>
          </c:val>
          <c:extLst>
            <c:ext xmlns:c16="http://schemas.microsoft.com/office/drawing/2014/chart" uri="{C3380CC4-5D6E-409C-BE32-E72D297353CC}">
              <c16:uniqueId val="{00000001-7F78-4106-A07C-45805B025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85760"/>
        <c:axId val="284887296"/>
      </c:barChart>
      <c:catAx>
        <c:axId val="28488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887296"/>
        <c:crosses val="autoZero"/>
        <c:auto val="1"/>
        <c:lblAlgn val="ctr"/>
        <c:lblOffset val="100"/>
        <c:noMultiLvlLbl val="0"/>
      </c:catAx>
      <c:valAx>
        <c:axId val="284887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48857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382377877081912"/>
          <c:y val="3.0065348336652382E-2"/>
          <c:w val="0.28533774033460246"/>
          <c:h val="0.10873386945951038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5181856624891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Primärdeckung!$C$101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Primärdeckung!$B$102:$B$106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Primärdeckung!$C$102:$C$106</c:f>
              <c:numCache>
                <c:formatCode>#,##0,,</c:formatCode>
                <c:ptCount val="5"/>
                <c:pt idx="0">
                  <c:v>537820639.5</c:v>
                </c:pt>
                <c:pt idx="1">
                  <c:v>1030974532.33</c:v>
                </c:pt>
                <c:pt idx="2">
                  <c:v>266002371.69</c:v>
                </c:pt>
                <c:pt idx="3">
                  <c:v>1134982694.76</c:v>
                </c:pt>
                <c:pt idx="4">
                  <c:v>1247588852.6591308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0-4F62-B776-30CD6D0E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9584"/>
        <c:axId val="284909568"/>
      </c:barChart>
      <c:catAx>
        <c:axId val="28489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09568"/>
        <c:crosses val="autoZero"/>
        <c:auto val="1"/>
        <c:lblAlgn val="ctr"/>
        <c:lblOffset val="100"/>
        <c:noMultiLvlLbl val="0"/>
      </c:catAx>
      <c:valAx>
        <c:axId val="284909568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8995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0602075072021"/>
          <c:y val="6.5451210064303739E-2"/>
          <c:w val="0.82798446439967688"/>
          <c:h val="0.77263315807645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(Primärdeckung!$A$7:$A$8,Primärdeckung!$A$10:$A$13)</c:f>
              <c:strCache>
                <c:ptCount val="6"/>
                <c:pt idx="0">
                  <c:v>≤ 100k</c:v>
                </c:pt>
                <c:pt idx="1">
                  <c:v>≤ 300 k</c:v>
                </c:pt>
                <c:pt idx="2">
                  <c:v>≤ 500k</c:v>
                </c:pt>
                <c:pt idx="3">
                  <c:v>≤ 1mn</c:v>
                </c:pt>
                <c:pt idx="4">
                  <c:v>≤  5mn</c:v>
                </c:pt>
                <c:pt idx="5">
                  <c:v>≥ 5mn</c:v>
                </c:pt>
              </c:strCache>
            </c:strRef>
          </c:cat>
          <c:val>
            <c:numRef>
              <c:f>(Primärdeckung!$C$7:$C$8,Primärdeckung!$C$10:$C$13)</c:f>
              <c:numCache>
                <c:formatCode>#,##0,,</c:formatCode>
                <c:ptCount val="6"/>
                <c:pt idx="0">
                  <c:v>765598956.77139819</c:v>
                </c:pt>
                <c:pt idx="1">
                  <c:v>296747467.26620686</c:v>
                </c:pt>
                <c:pt idx="2">
                  <c:v>245792987.97</c:v>
                </c:pt>
                <c:pt idx="3">
                  <c:v>368242816.76999998</c:v>
                </c:pt>
                <c:pt idx="4">
                  <c:v>651384553.80104864</c:v>
                </c:pt>
                <c:pt idx="5">
                  <c:v>1889602308.3604772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C-4F28-90CE-9D99464C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256"/>
        <c:axId val="284914048"/>
      </c:barChart>
      <c:catAx>
        <c:axId val="28491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anchor="b" anchorCtr="0"/>
          <a:lstStyle/>
          <a:p>
            <a:pPr>
              <a:defRPr sz="800"/>
            </a:pPr>
            <a:endParaRPr lang="de-DE"/>
          </a:p>
        </c:txPr>
        <c:crossAx val="284914048"/>
        <c:crosses val="autoZero"/>
        <c:auto val="1"/>
        <c:lblAlgn val="ctr"/>
        <c:lblOffset val="100"/>
        <c:noMultiLvlLbl val="0"/>
      </c:catAx>
      <c:valAx>
        <c:axId val="284914048"/>
        <c:scaling>
          <c:orientation val="minMax"/>
        </c:scaling>
        <c:delete val="0"/>
        <c:axPos val="l"/>
        <c:majorGridlines/>
        <c:numFmt formatCode="#,##0,,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849122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4639661736167E-2"/>
          <c:y val="3.6694893386330439E-2"/>
          <c:w val="0.90127590219349296"/>
          <c:h val="0.78789715278649164"/>
        </c:manualLayout>
      </c:layout>
      <c:barChart>
        <c:barDir val="col"/>
        <c:grouping val="clustered"/>
        <c:varyColors val="0"/>
        <c:ser>
          <c:idx val="0"/>
          <c:order val="0"/>
          <c:tx>
            <c:v>Primärdeckung</c:v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Primärdeckung!$B$118:$B$122</c:f>
              <c:strCache>
                <c:ptCount val="5"/>
                <c:pt idx="0">
                  <c:v>≤ 12 months</c:v>
                </c:pt>
                <c:pt idx="1">
                  <c:v>12 - 36 months</c:v>
                </c:pt>
                <c:pt idx="2">
                  <c:v>36 - 60 months</c:v>
                </c:pt>
                <c:pt idx="3">
                  <c:v>60 - 120 months</c:v>
                </c:pt>
                <c:pt idx="4">
                  <c:v>≥ 120 months</c:v>
                </c:pt>
              </c:strCache>
            </c:strRef>
          </c:cat>
          <c:val>
            <c:numRef>
              <c:f>Primärdeckung!$C$118:$C$122</c:f>
              <c:numCache>
                <c:formatCode>#,##0,,</c:formatCode>
                <c:ptCount val="5"/>
                <c:pt idx="0">
                  <c:v>105415666.76000001</c:v>
                </c:pt>
                <c:pt idx="1">
                  <c:v>203355804.75104865</c:v>
                </c:pt>
                <c:pt idx="2">
                  <c:v>232419787.13122812</c:v>
                </c:pt>
                <c:pt idx="3">
                  <c:v>606009903.65999997</c:v>
                </c:pt>
                <c:pt idx="4">
                  <c:v>3070167928.6368537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6B1-B896-5C9A58029042}"/>
            </c:ext>
          </c:extLst>
        </c:ser>
        <c:ser>
          <c:idx val="1"/>
          <c:order val="1"/>
          <c:tx>
            <c:v>Emissionen</c:v>
          </c:tx>
          <c:spPr>
            <a:solidFill>
              <a:schemeClr val="bg1">
                <a:lumMod val="5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Primärdeckung!$G$118:$G$122</c:f>
              <c:numCache>
                <c:formatCode>#,##0,,</c:formatCode>
                <c:ptCount val="5"/>
                <c:pt idx="0">
                  <c:v>535000000</c:v>
                </c:pt>
                <c:pt idx="1">
                  <c:v>632932113.51999998</c:v>
                </c:pt>
                <c:pt idx="2">
                  <c:v>550150000</c:v>
                </c:pt>
                <c:pt idx="3">
                  <c:v>1555000000</c:v>
                </c:pt>
                <c:pt idx="4">
                  <c:v>463435034.29000002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6B1-B896-5C9A58029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34144"/>
        <c:axId val="284935680"/>
      </c:barChart>
      <c:catAx>
        <c:axId val="28493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284935680"/>
        <c:crosses val="autoZero"/>
        <c:auto val="1"/>
        <c:lblAlgn val="ctr"/>
        <c:lblOffset val="100"/>
        <c:noMultiLvlLbl val="0"/>
      </c:catAx>
      <c:valAx>
        <c:axId val="284935680"/>
        <c:scaling>
          <c:orientation val="minMax"/>
        </c:scaling>
        <c:delete val="0"/>
        <c:axPos val="l"/>
        <c:majorGridlines/>
        <c:numFmt formatCode="#,##0,," sourceLinked="1"/>
        <c:majorTickMark val="out"/>
        <c:minorTickMark val="none"/>
        <c:tickLblPos val="nextTo"/>
        <c:crossAx val="2849341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5494039644180624"/>
          <c:y val="6.6143797657742573E-2"/>
          <c:w val="0.29959509005305351"/>
          <c:h val="0.10873386945951075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100</xdr:row>
      <xdr:rowOff>0</xdr:rowOff>
    </xdr:from>
    <xdr:to>
      <xdr:col>8</xdr:col>
      <xdr:colOff>0</xdr:colOff>
      <xdr:row>107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149086</xdr:colOff>
      <xdr:row>3</xdr:row>
      <xdr:rowOff>24849</xdr:rowOff>
    </xdr:from>
    <xdr:to>
      <xdr:col>7</xdr:col>
      <xdr:colOff>828260</xdr:colOff>
      <xdr:row>14</xdr:row>
      <xdr:rowOff>24848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8</xdr:col>
      <xdr:colOff>0</xdr:colOff>
      <xdr:row>136</xdr:row>
      <xdr:rowOff>124239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165650</xdr:colOff>
      <xdr:row>3</xdr:row>
      <xdr:rowOff>115955</xdr:rowOff>
    </xdr:from>
    <xdr:to>
      <xdr:col>5</xdr:col>
      <xdr:colOff>546651</xdr:colOff>
      <xdr:row>5</xdr:row>
      <xdr:rowOff>24846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760302" y="902803"/>
          <a:ext cx="546653" cy="240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0.06614</cdr:y>
    </cdr:from>
    <cdr:to>
      <cdr:x>0.17054</cdr:x>
      <cdr:y>0.27328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88203"/>
          <a:ext cx="546644" cy="27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mn</a:t>
          </a:r>
          <a:endParaRPr lang="de-AT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11</xdr:col>
      <xdr:colOff>0</xdr:colOff>
      <xdr:row>141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37</xdr:row>
      <xdr:rowOff>1</xdr:rowOff>
    </xdr:from>
    <xdr:to>
      <xdr:col>11</xdr:col>
      <xdr:colOff>0</xdr:colOff>
      <xdr:row>48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57978</xdr:colOff>
      <xdr:row>158</xdr:row>
      <xdr:rowOff>0</xdr:rowOff>
    </xdr:from>
    <xdr:to>
      <xdr:col>11</xdr:col>
      <xdr:colOff>66260</xdr:colOff>
      <xdr:row>170</xdr:row>
      <xdr:rowOff>124239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240195</xdr:colOff>
      <xdr:row>36</xdr:row>
      <xdr:rowOff>124239</xdr:rowOff>
    </xdr:from>
    <xdr:to>
      <xdr:col>8</xdr:col>
      <xdr:colOff>596347</xdr:colOff>
      <xdr:row>37</xdr:row>
      <xdr:rowOff>132521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54970" y="724314"/>
          <a:ext cx="356152" cy="1987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8</xdr:col>
      <xdr:colOff>127553</xdr:colOff>
      <xdr:row>134</xdr:row>
      <xdr:rowOff>53007</xdr:rowOff>
    </xdr:from>
    <xdr:to>
      <xdr:col>8</xdr:col>
      <xdr:colOff>483705</xdr:colOff>
      <xdr:row>135</xdr:row>
      <xdr:rowOff>86137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42328" y="17131332"/>
          <a:ext cx="356152" cy="195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4</xdr:col>
      <xdr:colOff>139149</xdr:colOff>
      <xdr:row>158</xdr:row>
      <xdr:rowOff>48037</xdr:rowOff>
    </xdr:from>
    <xdr:to>
      <xdr:col>4</xdr:col>
      <xdr:colOff>495301</xdr:colOff>
      <xdr:row>159</xdr:row>
      <xdr:rowOff>81166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39199" y="21050662"/>
          <a:ext cx="356152" cy="19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mn</a:t>
          </a:r>
        </a:p>
      </xdr:txBody>
    </xdr:sp>
    <xdr:clientData/>
  </xdr:twoCellAnchor>
  <xdr:twoCellAnchor>
    <xdr:from>
      <xdr:col>17</xdr:col>
      <xdr:colOff>0</xdr:colOff>
      <xdr:row>134</xdr:row>
      <xdr:rowOff>0</xdr:rowOff>
    </xdr:from>
    <xdr:to>
      <xdr:col>20</xdr:col>
      <xdr:colOff>0</xdr:colOff>
      <xdr:row>141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149086</xdr:colOff>
      <xdr:row>37</xdr:row>
      <xdr:rowOff>24849</xdr:rowOff>
    </xdr:from>
    <xdr:to>
      <xdr:col>19</xdr:col>
      <xdr:colOff>828260</xdr:colOff>
      <xdr:row>48</xdr:row>
      <xdr:rowOff>24848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158</xdr:row>
      <xdr:rowOff>0</xdr:rowOff>
    </xdr:from>
    <xdr:to>
      <xdr:col>20</xdr:col>
      <xdr:colOff>8282</xdr:colOff>
      <xdr:row>170</xdr:row>
      <xdr:rowOff>124239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33130</xdr:colOff>
      <xdr:row>37</xdr:row>
      <xdr:rowOff>132521</xdr:rowOff>
    </xdr:from>
    <xdr:to>
      <xdr:col>17</xdr:col>
      <xdr:colOff>579783</xdr:colOff>
      <xdr:row>39</xdr:row>
      <xdr:rowOff>41412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3795505" y="923096"/>
          <a:ext cx="546653" cy="232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0.07857</cdr:y>
    </cdr:from>
    <cdr:to>
      <cdr:x>0.17054</cdr:x>
      <cdr:y>0.28571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0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0.00252</cdr:x>
      <cdr:y>0.04314</cdr:y>
    </cdr:from>
    <cdr:to>
      <cdr:x>0.08564</cdr:x>
      <cdr:y>0.15686</cdr:y>
    </cdr:to>
    <cdr:sp macro="" textlink="">
      <cdr:nvSpPr>
        <cdr:cNvPr id="2" name="Textfeld 6"/>
        <cdr:cNvSpPr txBox="1"/>
      </cdr:nvSpPr>
      <cdr:spPr>
        <a:xfrm xmlns:a="http://schemas.openxmlformats.org/drawingml/2006/main">
          <a:off x="16566" y="91109"/>
          <a:ext cx="546653" cy="240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de-AT" sz="900"/>
            <a:t>in</a:t>
          </a:r>
          <a:r>
            <a:rPr lang="de-AT" sz="900" baseline="0"/>
            <a:t> Mio.</a:t>
          </a:r>
          <a:endParaRPr lang="de-AT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0_Anfragen%20und%20Auswertungen\DE_EN_Switc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V$\OE2551\Funding\Deckungsst&#246;cke\Reporting%20f&#252;r%20Pfandbrief-Forum%20und%20Treuh&#228;nder\2017-12-31\Pfandbriefforumsreport%20Pfandbrief%20Hypothekenpfandbrief%202017-12-31%20englisch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E2551/Funding/Deckungsst&#246;cke/Reporting%20f&#252;r%20Pfandbrief-Forum%20und%20Treuh&#228;nder/2018-09-30/Pfandbriefforumsreport%20Pfandbrief%20&#214;ffentlicher%20Pfandbrief%202018-09-30_D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"/>
      <sheetName val="EN"/>
      <sheetName val="Tabelle3"/>
      <sheetName val="Language"/>
    </sheetNames>
    <sheetDataSet>
      <sheetData sheetId="0"/>
      <sheetData sheetId="1"/>
      <sheetData sheetId="2"/>
      <sheetData sheetId="3">
        <row r="1">
          <cell r="A1" t="str">
            <v>Deutsch</v>
          </cell>
        </row>
        <row r="2">
          <cell r="A2" t="str">
            <v>Englisch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ary Cover Pool"/>
      <sheetName val="Substitute Collateral"/>
      <sheetName val="Language"/>
    </sheetNames>
    <sheetDataSet>
      <sheetData sheetId="0">
        <row r="1">
          <cell r="A1" t="str">
            <v>EN</v>
          </cell>
        </row>
      </sheetData>
      <sheetData sheetId="1"/>
      <sheetData sheetId="2"/>
      <sheetData sheetId="3">
        <row r="2">
          <cell r="D2" t="str">
            <v>Bank</v>
          </cell>
          <cell r="E2" t="str">
            <v>Name des Pfandbriefemittenten</v>
          </cell>
          <cell r="I2" t="str">
            <v>Bank</v>
          </cell>
          <cell r="J2" t="str">
            <v>Name des Pfandbriefemittenten</v>
          </cell>
        </row>
        <row r="3">
          <cell r="D3" t="str">
            <v>Report Date</v>
          </cell>
          <cell r="I3" t="str">
            <v>Report Datum</v>
          </cell>
        </row>
        <row r="4">
          <cell r="D4" t="str">
            <v>Report Currency</v>
          </cell>
          <cell r="F4" t="str">
            <v>EUR</v>
          </cell>
          <cell r="I4" t="str">
            <v>Report Währung</v>
          </cell>
          <cell r="K4" t="str">
            <v>EUR</v>
          </cell>
        </row>
        <row r="7">
          <cell r="D7" t="str">
            <v>Mortgage Pfandbrief or Mortgage Covered Bond (fundierte Bankschuldverschreibung)</v>
          </cell>
          <cell r="I7" t="str">
            <v>Hypothekarische Pfandbriefe bzw. hypothekarische fundierte Bankschuldverschreibungen</v>
          </cell>
        </row>
        <row r="9">
          <cell r="D9" t="str">
            <v>Overview</v>
          </cell>
          <cell r="H9" t="str">
            <v>1.</v>
          </cell>
          <cell r="I9" t="str">
            <v xml:space="preserve">ÜBERBLICK </v>
          </cell>
        </row>
        <row r="11">
          <cell r="D11" t="str">
            <v>CRD/ UCITS compliant</v>
          </cell>
          <cell r="F11" t="str">
            <v>yes</v>
          </cell>
          <cell r="I11" t="str">
            <v>CRD/ OGAW Richtlinien konform</v>
          </cell>
          <cell r="K11" t="str">
            <v>Ja</v>
          </cell>
        </row>
        <row r="12">
          <cell r="D12" t="str">
            <v>Share of ECB eligible bonds (in % of additional cover pool)</v>
          </cell>
          <cell r="F12">
            <v>0.1</v>
          </cell>
          <cell r="I12" t="str">
            <v>Anteil EZB fähiger Forderungen und Wertpapiere (% von Gesamtdeckung)</v>
          </cell>
          <cell r="K12">
            <v>0.1</v>
          </cell>
        </row>
        <row r="13">
          <cell r="D13" t="str">
            <v>Total amount of outstanding issues</v>
          </cell>
          <cell r="E13" t="str">
            <v>in mn</v>
          </cell>
          <cell r="F13">
            <v>1000000000</v>
          </cell>
          <cell r="I13" t="str">
            <v>Gesamtbetrag Emissionen in Umlauf</v>
          </cell>
          <cell r="J13" t="str">
            <v>in Millionen</v>
          </cell>
          <cell r="K13">
            <v>34000000000</v>
          </cell>
        </row>
        <row r="14">
          <cell r="D14" t="str">
            <v xml:space="preserve">Total amount of cover assets </v>
          </cell>
          <cell r="E14" t="str">
            <v>in mn</v>
          </cell>
          <cell r="F14">
            <v>1000000000</v>
          </cell>
          <cell r="I14" t="str">
            <v>Gesamtbetrag der Deckungswerte (Gesamtdeckung Nominale)</v>
          </cell>
          <cell r="J14" t="str">
            <v>in Millionen</v>
          </cell>
          <cell r="K14">
            <v>40000000000</v>
          </cell>
        </row>
        <row r="15">
          <cell r="D15" t="str">
            <v>Rating agencies</v>
          </cell>
          <cell r="E15" t="str">
            <v>Moody's</v>
          </cell>
          <cell r="F15" t="str">
            <v>Fitch</v>
          </cell>
          <cell r="G15" t="str">
            <v>S&amp;P</v>
          </cell>
          <cell r="I15" t="str">
            <v>Ratingagenturen</v>
          </cell>
          <cell r="J15" t="str">
            <v>Moody's</v>
          </cell>
          <cell r="K15" t="str">
            <v>Fitch</v>
          </cell>
          <cell r="L15" t="str">
            <v>S&amp;P</v>
          </cell>
        </row>
        <row r="16">
          <cell r="D16" t="str">
            <v>Issuer rating</v>
          </cell>
          <cell r="E16" t="str">
            <v>A2</v>
          </cell>
          <cell r="F16" t="str">
            <v>A</v>
          </cell>
          <cell r="G16" t="str">
            <v>A</v>
          </cell>
          <cell r="I16" t="str">
            <v>Emittentenrating</v>
          </cell>
          <cell r="J16" t="str">
            <v>A2</v>
          </cell>
          <cell r="K16" t="str">
            <v>A</v>
          </cell>
          <cell r="L16" t="str">
            <v>A</v>
          </cell>
        </row>
        <row r="17">
          <cell r="D17" t="str">
            <v>Cover pool rating</v>
          </cell>
          <cell r="E17" t="str">
            <v>NR</v>
          </cell>
          <cell r="F17" t="str">
            <v>NR</v>
          </cell>
          <cell r="G17" t="str">
            <v>NR</v>
          </cell>
          <cell r="I17" t="str">
            <v>Deckungsstockrating</v>
          </cell>
          <cell r="J17" t="str">
            <v>NR</v>
          </cell>
          <cell r="K17" t="str">
            <v>NR</v>
          </cell>
          <cell r="L17" t="str">
            <v>NR</v>
          </cell>
        </row>
        <row r="18">
          <cell r="D18" t="str">
            <v>Number of loans</v>
          </cell>
          <cell r="F18">
            <v>1000</v>
          </cell>
          <cell r="I18" t="str">
            <v>Anzahl der Finanzierungen</v>
          </cell>
          <cell r="K18">
            <v>5600</v>
          </cell>
        </row>
        <row r="19">
          <cell r="D19" t="str">
            <v>Number of borrowers</v>
          </cell>
          <cell r="F19">
            <v>1000</v>
          </cell>
          <cell r="I19" t="str">
            <v>Anzahl der Schuldner</v>
          </cell>
          <cell r="K19">
            <v>6000</v>
          </cell>
        </row>
        <row r="20">
          <cell r="D20" t="str">
            <v>Number of properties</v>
          </cell>
          <cell r="F20">
            <v>1000</v>
          </cell>
          <cell r="I20" t="str">
            <v>Anzahl der Immobilien</v>
          </cell>
          <cell r="K20">
            <v>350</v>
          </cell>
        </row>
        <row r="21">
          <cell r="D21" t="str">
            <v>Average exposure per borrower</v>
          </cell>
          <cell r="E21" t="str">
            <v>in mn</v>
          </cell>
          <cell r="F21">
            <v>1000000000</v>
          </cell>
          <cell r="I21" t="str">
            <v>Durchschnittliches Volumen der Deckungswerte pro Schuldner</v>
          </cell>
          <cell r="J21" t="str">
            <v>in Millionen</v>
          </cell>
          <cell r="K21">
            <v>1000000000</v>
          </cell>
        </row>
        <row r="22">
          <cell r="D22" t="str">
            <v>Average loan amount</v>
          </cell>
          <cell r="E22" t="str">
            <v>in mn</v>
          </cell>
          <cell r="F22">
            <v>1000000000</v>
          </cell>
          <cell r="I22" t="str">
            <v>Durchschnittliches Volumen der Deckungswerte pro Finanzierung</v>
          </cell>
          <cell r="J22" t="str">
            <v>in Millionen</v>
          </cell>
          <cell r="K22">
            <v>1000000000</v>
          </cell>
        </row>
        <row r="23">
          <cell r="D23" t="str">
            <v>Share of non-performing loans with at least 90 days past due (% of primary cover pool)</v>
          </cell>
          <cell r="F23">
            <v>0.1</v>
          </cell>
          <cell r="I23" t="str">
            <v>Anteil der Forderungen in Zahlungsverzug von mind. 90 Tagen  (% von Primärdeckung)</v>
          </cell>
          <cell r="K23">
            <v>0.1</v>
          </cell>
        </row>
        <row r="24">
          <cell r="D24" t="str">
            <v>Share of 10 largest loans (% of primary cover pool)</v>
          </cell>
          <cell r="F24">
            <v>0.1</v>
          </cell>
          <cell r="I24" t="str">
            <v>Anteil der 10 größten Finanzierungen (% von Primärdeckung)</v>
          </cell>
          <cell r="K24">
            <v>0.31</v>
          </cell>
        </row>
        <row r="25">
          <cell r="D25" t="str">
            <v>Share of bullet loans (% of primary cover pool)</v>
          </cell>
          <cell r="F25">
            <v>0.1</v>
          </cell>
          <cell r="I25" t="str">
            <v>Anteil endfällige Finanzierungen (% von Primärdeckung)</v>
          </cell>
          <cell r="K25">
            <v>0.19</v>
          </cell>
        </row>
        <row r="26">
          <cell r="D26" t="str">
            <v>Share of loans in foreign currency (% of primary cover pool)</v>
          </cell>
          <cell r="F26">
            <v>0.1</v>
          </cell>
          <cell r="I26" t="str">
            <v>Anteil der Finanzierungen in Fremdwährung (% von Primärdeckung)</v>
          </cell>
          <cell r="K26">
            <v>0.19</v>
          </cell>
        </row>
        <row r="27">
          <cell r="D27" t="str">
            <v>Share of issues in foreign currency (% of primary cover pool)</v>
          </cell>
          <cell r="F27">
            <v>0.1</v>
          </cell>
          <cell r="I27" t="str">
            <v>Anteil der Emissionen in Fremdwährung (in %)</v>
          </cell>
          <cell r="K27">
            <v>0.1</v>
          </cell>
        </row>
        <row r="28">
          <cell r="D28" t="str">
            <v>Share of loans with fixed interest rate for longer than 1 year  (% of primary cover pool)</v>
          </cell>
          <cell r="F28">
            <v>0.1</v>
          </cell>
          <cell r="I28" t="str">
            <v>Anteil Finanzierungen mit fixer Zinsbindung  &gt; 1 Jahr (% von Primärdeckung)</v>
          </cell>
          <cell r="K28">
            <v>0.16</v>
          </cell>
        </row>
        <row r="29">
          <cell r="D29" t="str">
            <v>Nominal over-collateralisation (total cover pool / outstanding issues in %)</v>
          </cell>
          <cell r="F29">
            <v>0.1</v>
          </cell>
          <cell r="I29" t="str">
            <v>Nominelle Überdeckung (Gesamtdeckung/Emissionen im Umlauf in %)</v>
          </cell>
          <cell r="K29">
            <v>0.18</v>
          </cell>
        </row>
        <row r="30">
          <cell r="D30" t="str">
            <v>Present value over-collateralisation (PV total cover pool / PV outstanding issues in %)</v>
          </cell>
          <cell r="F30">
            <v>0.1</v>
          </cell>
          <cell r="I30" t="str">
            <v>Barwertige Überdeckung (BW Gesamtdeckung/ BW Emissionen im Umlauf in %)</v>
          </cell>
          <cell r="K30">
            <v>0.11</v>
          </cell>
        </row>
        <row r="31">
          <cell r="D31" t="str">
            <v>Number of issues</v>
          </cell>
          <cell r="F31">
            <v>1000</v>
          </cell>
          <cell r="I31" t="str">
            <v>Anzahl der Emissionen</v>
          </cell>
          <cell r="K31">
            <v>62</v>
          </cell>
        </row>
        <row r="32">
          <cell r="D32" t="str">
            <v>Average issue size</v>
          </cell>
          <cell r="E32" t="str">
            <v>in mn</v>
          </cell>
          <cell r="F32">
            <v>44442488</v>
          </cell>
          <cell r="I32" t="str">
            <v>Durchschnittliche Größe der Emissionen</v>
          </cell>
          <cell r="J32" t="str">
            <v>in Millionen</v>
          </cell>
          <cell r="K32">
            <v>44442488</v>
          </cell>
        </row>
        <row r="33">
          <cell r="D33" t="str">
            <v>WA LTV according to rating agency definition (%) *</v>
          </cell>
          <cell r="F33">
            <v>0.1</v>
          </cell>
          <cell r="I33" t="str">
            <v>Gewichteter durchschnittlicher LTV nach Rating Agentur Definition* (%)</v>
          </cell>
          <cell r="K33">
            <v>0.6</v>
          </cell>
        </row>
        <row r="34">
          <cell r="D34" t="str">
            <v>WA LTV according to Austrian definition (%) **</v>
          </cell>
          <cell r="F34">
            <v>0.1</v>
          </cell>
          <cell r="I34" t="str">
            <v>Gewichteter durchschnittlicher LTV nach österreichischer Definition** (%)</v>
          </cell>
          <cell r="K34">
            <v>0.7</v>
          </cell>
        </row>
        <row r="36">
          <cell r="D36" t="str">
            <v>*LTV definition rating agencies: (total loans outstanding per borrower + total prior-ranking mortgages)/ total of property values</v>
          </cell>
          <cell r="I36" t="str">
            <v>*LTV Definition Rating Agentur Berechnung: (Summe Forderungen je Kreditnehmereinheit + Summe vorrangige Hypotheken)/ Summe akt. Immobilienwerte</v>
          </cell>
        </row>
        <row r="37">
          <cell r="D37" t="str">
            <v>**LTV Austrian calculation: loan amount in cover pool/ total of property values minus prior-ranking mortgages</v>
          </cell>
          <cell r="I37" t="str">
            <v>**LTV österr. Berechnung: Betrag in Deckung je Forderung / Summe akt. Immobilienwerte abzüglich vorrangige Hypotheken</v>
          </cell>
        </row>
        <row r="38">
          <cell r="D38" t="str">
            <v>2.</v>
          </cell>
          <cell r="E38" t="str">
            <v>INFORMATION ON PRIMARY COVER POOL</v>
          </cell>
          <cell r="K38" t="str">
            <v>display unit in mn - except "number"</v>
          </cell>
          <cell r="M38" t="str">
            <v>2.</v>
          </cell>
          <cell r="N38" t="str">
            <v>INFORMATIONEN ZUM DECKUNGSSTOCK (PRIMÄRDECKUNG)</v>
          </cell>
          <cell r="T38" t="str">
            <v>Anzeigeeinheit in Mio. EUR - ausgenommen "Anzahl"</v>
          </cell>
        </row>
        <row r="39">
          <cell r="D39" t="str">
            <v>2.1</v>
          </cell>
          <cell r="E39" t="str">
            <v>Distribution by loan size</v>
          </cell>
          <cell r="M39" t="str">
            <v>2.1</v>
          </cell>
          <cell r="N39" t="str">
            <v>Verteilung nach Kreditvolumen</v>
          </cell>
        </row>
        <row r="41">
          <cell r="E41" t="str">
            <v>Primary cover pool by loan size</v>
          </cell>
          <cell r="N41" t="str">
            <v>Primärdeckung nach Kreditvolumen</v>
          </cell>
        </row>
        <row r="42">
          <cell r="F42" t="str">
            <v>volume</v>
          </cell>
          <cell r="G42" t="str">
            <v>number</v>
          </cell>
          <cell r="O42" t="str">
            <v>Volumen in Mio</v>
          </cell>
          <cell r="P42" t="str">
            <v>Anzahl</v>
          </cell>
        </row>
        <row r="43">
          <cell r="D43" t="str">
            <v>≤ 300k</v>
          </cell>
          <cell r="E43" t="str">
            <v>≤  300.000</v>
          </cell>
          <cell r="F43">
            <v>500000000</v>
          </cell>
          <cell r="G43">
            <v>250</v>
          </cell>
          <cell r="M43" t="str">
            <v>≤ 300k</v>
          </cell>
          <cell r="N43" t="str">
            <v>≤  300.000</v>
          </cell>
          <cell r="O43">
            <v>1000000000</v>
          </cell>
          <cell r="P43">
            <v>200</v>
          </cell>
        </row>
        <row r="44">
          <cell r="D44" t="str">
            <v>≤ 100k</v>
          </cell>
          <cell r="E44" t="str">
            <v xml:space="preserve">    thereof 0  - 100.000</v>
          </cell>
          <cell r="F44">
            <v>350000000</v>
          </cell>
          <cell r="G44">
            <v>0</v>
          </cell>
          <cell r="M44" t="str">
            <v>≤ 100k</v>
          </cell>
          <cell r="N44" t="str">
            <v xml:space="preserve">    davon 0  - 100.000</v>
          </cell>
          <cell r="O44">
            <v>1000000000</v>
          </cell>
          <cell r="P44">
            <v>200</v>
          </cell>
        </row>
        <row r="45">
          <cell r="D45" t="str">
            <v>≤ 300 k</v>
          </cell>
          <cell r="E45" t="str">
            <v xml:space="preserve">    thereof 100.000 - 300.000</v>
          </cell>
          <cell r="F45">
            <v>150000000</v>
          </cell>
          <cell r="G45">
            <v>250</v>
          </cell>
          <cell r="M45" t="str">
            <v>≤ 300 k</v>
          </cell>
          <cell r="N45" t="str">
            <v xml:space="preserve">    davon 100.000 - 300.000</v>
          </cell>
          <cell r="O45">
            <v>0</v>
          </cell>
          <cell r="P45">
            <v>0</v>
          </cell>
        </row>
        <row r="46">
          <cell r="E46" t="str">
            <v>300.000 - 5.000.000</v>
          </cell>
          <cell r="F46">
            <v>700000000</v>
          </cell>
          <cell r="G46">
            <v>700</v>
          </cell>
          <cell r="N46" t="str">
            <v>300.000 - 5.000.000</v>
          </cell>
          <cell r="O46">
            <v>9999999999</v>
          </cell>
          <cell r="P46">
            <v>200</v>
          </cell>
        </row>
        <row r="47">
          <cell r="D47" t="str">
            <v>≤ 500k</v>
          </cell>
          <cell r="E47" t="str">
            <v xml:space="preserve">    thereof 300.000 - 500.000</v>
          </cell>
          <cell r="F47">
            <v>140000000</v>
          </cell>
          <cell r="G47">
            <v>140</v>
          </cell>
          <cell r="M47" t="str">
            <v>≤ 500k</v>
          </cell>
          <cell r="N47" t="str">
            <v xml:space="preserve">    davon 300.000 - 500.000</v>
          </cell>
          <cell r="O47">
            <v>9999999999</v>
          </cell>
          <cell r="P47">
            <v>200</v>
          </cell>
        </row>
        <row r="48">
          <cell r="D48" t="str">
            <v>≤ 1mn</v>
          </cell>
          <cell r="E48" t="str">
            <v xml:space="preserve">    thereof 500.000 - 1.000.000</v>
          </cell>
          <cell r="F48">
            <v>350000000</v>
          </cell>
          <cell r="G48">
            <v>350</v>
          </cell>
          <cell r="M48" t="str">
            <v>≤ 1mn</v>
          </cell>
          <cell r="N48" t="str">
            <v xml:space="preserve">    davon 500.000 - 1.000.000</v>
          </cell>
          <cell r="O48">
            <v>0</v>
          </cell>
          <cell r="P48">
            <v>0</v>
          </cell>
        </row>
        <row r="49">
          <cell r="D49" t="str">
            <v>≤  5mn</v>
          </cell>
          <cell r="E49" t="str">
            <v xml:space="preserve">    thereof 1.000.000 - 5.000.000</v>
          </cell>
          <cell r="F49">
            <v>210000000</v>
          </cell>
          <cell r="G49">
            <v>210</v>
          </cell>
          <cell r="M49" t="str">
            <v>≤  5mn</v>
          </cell>
          <cell r="N49" t="str">
            <v xml:space="preserve">    davon 1.000.000 - 5.000.000</v>
          </cell>
          <cell r="O49">
            <v>0</v>
          </cell>
          <cell r="P49">
            <v>0</v>
          </cell>
        </row>
        <row r="50">
          <cell r="D50" t="str">
            <v>≥ 5mn</v>
          </cell>
          <cell r="E50" t="str">
            <v>≥ 5.000.000</v>
          </cell>
          <cell r="F50">
            <v>200000000</v>
          </cell>
          <cell r="G50">
            <v>150</v>
          </cell>
          <cell r="M50" t="str">
            <v>≥ 5mn</v>
          </cell>
          <cell r="N50" t="str">
            <v>≥ 5.000.000</v>
          </cell>
          <cell r="O50">
            <v>9999999999</v>
          </cell>
          <cell r="P50">
            <v>200</v>
          </cell>
        </row>
        <row r="51">
          <cell r="E51" t="str">
            <v>Total</v>
          </cell>
          <cell r="F51">
            <v>1400000000</v>
          </cell>
          <cell r="G51">
            <v>1100</v>
          </cell>
          <cell r="N51" t="str">
            <v>Summe</v>
          </cell>
          <cell r="O51">
            <v>20999999998</v>
          </cell>
          <cell r="P51">
            <v>600</v>
          </cell>
        </row>
        <row r="53">
          <cell r="D53" t="str">
            <v>2.2</v>
          </cell>
          <cell r="E53" t="str">
            <v>Distribution by currencies after cover pool FX derivatives</v>
          </cell>
          <cell r="M53" t="str">
            <v>2.2</v>
          </cell>
          <cell r="N53" t="str">
            <v>Währungsverteilung nach Währungsderivaten</v>
          </cell>
        </row>
        <row r="55">
          <cell r="E55" t="str">
            <v>FX derivatives</v>
          </cell>
          <cell r="G55" t="str">
            <v>volume</v>
          </cell>
          <cell r="N55" t="str">
            <v>Währungsderivate</v>
          </cell>
          <cell r="P55" t="str">
            <v>Volumen</v>
          </cell>
        </row>
        <row r="56">
          <cell r="E56" t="str">
            <v>FX derivatives in cover pool</v>
          </cell>
          <cell r="G56" t="str">
            <v>yes/no</v>
          </cell>
          <cell r="N56" t="str">
            <v>Währungsderivate in Deckungsstock</v>
          </cell>
          <cell r="P56" t="str">
            <v>Ja</v>
          </cell>
        </row>
        <row r="57">
          <cell r="E57" t="str">
            <v>nominal of FX derivatives</v>
          </cell>
          <cell r="G57">
            <v>0</v>
          </cell>
          <cell r="N57" t="str">
            <v>Nominale der Derivate in Deckungsstock</v>
          </cell>
          <cell r="P57">
            <v>8000000000</v>
          </cell>
        </row>
        <row r="59">
          <cell r="E59" t="str">
            <v>Primary cover pool</v>
          </cell>
          <cell r="G59" t="str">
            <v>volume</v>
          </cell>
          <cell r="I59" t="str">
            <v>Issues</v>
          </cell>
          <cell r="K59" t="str">
            <v>volume</v>
          </cell>
          <cell r="N59" t="str">
            <v>Primärdeckung</v>
          </cell>
          <cell r="P59" t="str">
            <v>Volumen</v>
          </cell>
          <cell r="R59" t="str">
            <v>Emissionen</v>
          </cell>
          <cell r="T59" t="str">
            <v>Volumen</v>
          </cell>
        </row>
        <row r="60">
          <cell r="E60" t="str">
            <v>in EUR</v>
          </cell>
          <cell r="G60">
            <v>700000000</v>
          </cell>
          <cell r="I60" t="str">
            <v>in EUR</v>
          </cell>
          <cell r="K60">
            <v>700000000</v>
          </cell>
          <cell r="N60" t="str">
            <v>in EUR</v>
          </cell>
          <cell r="P60">
            <v>8000000000</v>
          </cell>
          <cell r="R60" t="str">
            <v>in EUR</v>
          </cell>
          <cell r="T60">
            <v>6000000000</v>
          </cell>
        </row>
        <row r="61">
          <cell r="E61" t="str">
            <v>in CHF</v>
          </cell>
          <cell r="G61">
            <v>140000000</v>
          </cell>
          <cell r="I61" t="str">
            <v>in CHF</v>
          </cell>
          <cell r="K61">
            <v>140000000</v>
          </cell>
          <cell r="N61" t="str">
            <v>in CHF</v>
          </cell>
          <cell r="P61">
            <v>8000000000</v>
          </cell>
          <cell r="R61" t="str">
            <v>in CHF</v>
          </cell>
          <cell r="T61">
            <v>6000000000</v>
          </cell>
        </row>
        <row r="62">
          <cell r="E62" t="str">
            <v>in USD</v>
          </cell>
          <cell r="G62">
            <v>350000000</v>
          </cell>
          <cell r="I62" t="str">
            <v>in USD</v>
          </cell>
          <cell r="K62">
            <v>350000000</v>
          </cell>
          <cell r="N62" t="str">
            <v>in USD</v>
          </cell>
          <cell r="P62">
            <v>8000000000</v>
          </cell>
          <cell r="R62" t="str">
            <v>in USD</v>
          </cell>
          <cell r="T62">
            <v>8000000000</v>
          </cell>
        </row>
        <row r="63">
          <cell r="E63" t="str">
            <v>in JPY</v>
          </cell>
          <cell r="G63">
            <v>210000000</v>
          </cell>
          <cell r="I63" t="str">
            <v>in JPY</v>
          </cell>
          <cell r="K63">
            <v>210000000</v>
          </cell>
          <cell r="N63" t="str">
            <v>in JPY</v>
          </cell>
          <cell r="P63">
            <v>8000000000</v>
          </cell>
          <cell r="R63" t="str">
            <v>in JPY</v>
          </cell>
          <cell r="T63">
            <v>8000000000</v>
          </cell>
        </row>
        <row r="64">
          <cell r="E64" t="str">
            <v>Other</v>
          </cell>
          <cell r="G64">
            <v>0</v>
          </cell>
          <cell r="I64" t="str">
            <v>Other</v>
          </cell>
          <cell r="K64">
            <v>0</v>
          </cell>
          <cell r="N64" t="str">
            <v xml:space="preserve">Sonstige </v>
          </cell>
          <cell r="P64">
            <v>8000000000</v>
          </cell>
          <cell r="R64" t="str">
            <v xml:space="preserve">Sonstige </v>
          </cell>
          <cell r="T64">
            <v>6000000000</v>
          </cell>
        </row>
        <row r="65">
          <cell r="E65" t="str">
            <v>Total</v>
          </cell>
          <cell r="G65">
            <v>1400000000</v>
          </cell>
          <cell r="I65" t="str">
            <v>Total</v>
          </cell>
          <cell r="K65">
            <v>1400000000</v>
          </cell>
          <cell r="N65" t="str">
            <v>Summe</v>
          </cell>
          <cell r="P65">
            <v>40000000000</v>
          </cell>
          <cell r="R65" t="str">
            <v>Summe</v>
          </cell>
          <cell r="T65">
            <v>34000000000</v>
          </cell>
        </row>
        <row r="67">
          <cell r="D67" t="str">
            <v>2.3</v>
          </cell>
          <cell r="E67" t="str">
            <v>Distribution by loan-to-value* (rating agencies definition)</v>
          </cell>
          <cell r="M67" t="str">
            <v>2.3</v>
          </cell>
          <cell r="N67" t="str">
            <v xml:space="preserve">Verteilung nach Besicherungsgrad* nach Rating Agentur Definition </v>
          </cell>
        </row>
        <row r="69">
          <cell r="E69" t="str">
            <v>LTV primary cover pool</v>
          </cell>
          <cell r="F69" t="str">
            <v>volume</v>
          </cell>
          <cell r="G69" t="str">
            <v>%</v>
          </cell>
          <cell r="N69" t="str">
            <v>LTV Primärdeckung</v>
          </cell>
          <cell r="O69" t="str">
            <v>Volumen</v>
          </cell>
          <cell r="P69" t="str">
            <v>%</v>
          </cell>
        </row>
        <row r="70">
          <cell r="E70" t="str">
            <v>≤ 40%</v>
          </cell>
          <cell r="F70">
            <v>85000000</v>
          </cell>
          <cell r="G70">
            <v>0</v>
          </cell>
          <cell r="N70" t="str">
            <v>≤ 40 %</v>
          </cell>
          <cell r="O70">
            <v>0</v>
          </cell>
          <cell r="P70">
            <v>0</v>
          </cell>
        </row>
        <row r="71">
          <cell r="E71" t="str">
            <v>40 - 50%</v>
          </cell>
          <cell r="F71">
            <v>100000000</v>
          </cell>
          <cell r="G71">
            <v>0</v>
          </cell>
          <cell r="N71" t="str">
            <v>40 - 50%</v>
          </cell>
          <cell r="O71">
            <v>0</v>
          </cell>
          <cell r="P71">
            <v>0</v>
          </cell>
        </row>
        <row r="72">
          <cell r="E72" t="str">
            <v>50 - 60%</v>
          </cell>
          <cell r="F72">
            <v>77000000</v>
          </cell>
          <cell r="G72">
            <v>0</v>
          </cell>
          <cell r="N72" t="str">
            <v>50 - 60%</v>
          </cell>
          <cell r="O72">
            <v>0</v>
          </cell>
          <cell r="P72">
            <v>0</v>
          </cell>
        </row>
        <row r="73">
          <cell r="E73" t="str">
            <v>60 - 70%</v>
          </cell>
          <cell r="F73">
            <v>55000000</v>
          </cell>
          <cell r="G73">
            <v>0</v>
          </cell>
          <cell r="N73" t="str">
            <v>60 - 70%</v>
          </cell>
          <cell r="O73">
            <v>0</v>
          </cell>
          <cell r="P73">
            <v>0</v>
          </cell>
        </row>
        <row r="74">
          <cell r="E74" t="str">
            <v>70 - 80%</v>
          </cell>
          <cell r="F74">
            <v>44000000</v>
          </cell>
          <cell r="G74">
            <v>0</v>
          </cell>
          <cell r="N74" t="str">
            <v>70 - 80%</v>
          </cell>
          <cell r="O74">
            <v>20000000000</v>
          </cell>
          <cell r="P74">
            <v>0</v>
          </cell>
        </row>
        <row r="75">
          <cell r="E75" t="str">
            <v>80 - 85%</v>
          </cell>
          <cell r="F75">
            <v>31000000</v>
          </cell>
          <cell r="G75">
            <v>0</v>
          </cell>
          <cell r="N75" t="str">
            <v>80 - 85%</v>
          </cell>
          <cell r="O75">
            <v>0</v>
          </cell>
          <cell r="P75">
            <v>0</v>
          </cell>
        </row>
        <row r="76">
          <cell r="E76" t="str">
            <v>85 - 90%</v>
          </cell>
          <cell r="F76">
            <v>20000000</v>
          </cell>
          <cell r="G76">
            <v>0</v>
          </cell>
          <cell r="N76" t="str">
            <v>85 - 90%</v>
          </cell>
          <cell r="O76">
            <v>0</v>
          </cell>
          <cell r="P76">
            <v>0</v>
          </cell>
        </row>
        <row r="77">
          <cell r="E77" t="str">
            <v>90 - 95%</v>
          </cell>
          <cell r="F77">
            <v>5000000</v>
          </cell>
          <cell r="G77">
            <v>0</v>
          </cell>
          <cell r="N77" t="str">
            <v>90 - 95%</v>
          </cell>
          <cell r="O77">
            <v>50000000000</v>
          </cell>
          <cell r="P77">
            <v>0</v>
          </cell>
        </row>
        <row r="78">
          <cell r="E78" t="str">
            <v>95 - 100%</v>
          </cell>
          <cell r="F78">
            <v>2000000</v>
          </cell>
          <cell r="G78">
            <v>0</v>
          </cell>
          <cell r="N78" t="str">
            <v>95 - 100%</v>
          </cell>
          <cell r="O78">
            <v>0</v>
          </cell>
          <cell r="P78">
            <v>0</v>
          </cell>
        </row>
        <row r="79">
          <cell r="E79" t="str">
            <v>100 - 105%</v>
          </cell>
          <cell r="F79">
            <v>4000000</v>
          </cell>
          <cell r="G79">
            <v>0</v>
          </cell>
          <cell r="N79" t="str">
            <v>100 - 105%</v>
          </cell>
          <cell r="O79">
            <v>0</v>
          </cell>
          <cell r="P79">
            <v>0</v>
          </cell>
        </row>
        <row r="80">
          <cell r="E80" t="str">
            <v>≥ 105%</v>
          </cell>
          <cell r="F80">
            <v>2500000</v>
          </cell>
          <cell r="G80">
            <v>0</v>
          </cell>
          <cell r="N80" t="str">
            <v>≥ 105%</v>
          </cell>
          <cell r="O80">
            <v>0</v>
          </cell>
          <cell r="P80">
            <v>0</v>
          </cell>
        </row>
        <row r="81">
          <cell r="E81" t="str">
            <v>Total</v>
          </cell>
          <cell r="F81">
            <v>425500000</v>
          </cell>
          <cell r="G81">
            <v>0</v>
          </cell>
          <cell r="N81" t="str">
            <v>Summe</v>
          </cell>
          <cell r="O81">
            <v>70000000000</v>
          </cell>
          <cell r="P81">
            <v>0</v>
          </cell>
        </row>
        <row r="83">
          <cell r="E83" t="str">
            <v>thereof LTV residential*</v>
          </cell>
          <cell r="F83" t="str">
            <v>volume</v>
          </cell>
          <cell r="G83" t="str">
            <v>%</v>
          </cell>
          <cell r="I83" t="str">
            <v>thereof LTV commercial</v>
          </cell>
          <cell r="J83" t="str">
            <v>volume</v>
          </cell>
          <cell r="K83" t="str">
            <v>%</v>
          </cell>
          <cell r="N83" t="str">
            <v>LTV Residential*</v>
          </cell>
          <cell r="O83" t="str">
            <v>Volumen</v>
          </cell>
          <cell r="P83" t="str">
            <v>%</v>
          </cell>
          <cell r="R83" t="str">
            <v>LTV Commercial</v>
          </cell>
          <cell r="S83" t="str">
            <v>Volumen</v>
          </cell>
          <cell r="T83" t="str">
            <v>%</v>
          </cell>
        </row>
        <row r="84">
          <cell r="E84" t="str">
            <v>≤ 40%</v>
          </cell>
          <cell r="F84">
            <v>85000000</v>
          </cell>
          <cell r="G84">
            <v>0</v>
          </cell>
          <cell r="I84" t="str">
            <v>≤ 40%</v>
          </cell>
          <cell r="J84">
            <v>85000000</v>
          </cell>
          <cell r="K84">
            <v>0</v>
          </cell>
          <cell r="N84" t="str">
            <v>≤ 40 %</v>
          </cell>
          <cell r="O84">
            <v>10000000000</v>
          </cell>
          <cell r="P84">
            <v>0</v>
          </cell>
          <cell r="R84" t="str">
            <v>≤ 40 %</v>
          </cell>
          <cell r="S84">
            <v>0</v>
          </cell>
          <cell r="T84">
            <v>0</v>
          </cell>
        </row>
        <row r="85">
          <cell r="E85" t="str">
            <v>40 - 50 %</v>
          </cell>
          <cell r="F85">
            <v>100000000</v>
          </cell>
          <cell r="G85">
            <v>0</v>
          </cell>
          <cell r="I85" t="str">
            <v>40 - 50 %</v>
          </cell>
          <cell r="J85">
            <v>100000000</v>
          </cell>
          <cell r="K85">
            <v>0</v>
          </cell>
          <cell r="N85" t="str">
            <v>40 - 50 %</v>
          </cell>
          <cell r="O85">
            <v>0</v>
          </cell>
          <cell r="P85">
            <v>0</v>
          </cell>
          <cell r="R85" t="str">
            <v>40 - 50 %</v>
          </cell>
          <cell r="S85">
            <v>0</v>
          </cell>
          <cell r="T85">
            <v>0</v>
          </cell>
        </row>
        <row r="86">
          <cell r="E86" t="str">
            <v>50 - 60 %</v>
          </cell>
          <cell r="F86">
            <v>77000000</v>
          </cell>
          <cell r="G86">
            <v>0</v>
          </cell>
          <cell r="I86" t="str">
            <v>50 - 60 %</v>
          </cell>
          <cell r="J86">
            <v>77000000</v>
          </cell>
          <cell r="K86">
            <v>0</v>
          </cell>
          <cell r="N86" t="str">
            <v>50 - 60 %</v>
          </cell>
          <cell r="O86">
            <v>0</v>
          </cell>
          <cell r="P86">
            <v>0</v>
          </cell>
          <cell r="R86" t="str">
            <v>50 - 60 %</v>
          </cell>
          <cell r="S86">
            <v>20000000000</v>
          </cell>
          <cell r="T86">
            <v>0</v>
          </cell>
        </row>
        <row r="87">
          <cell r="E87" t="str">
            <v>60 - 70 %</v>
          </cell>
          <cell r="F87">
            <v>55000000</v>
          </cell>
          <cell r="G87">
            <v>0</v>
          </cell>
          <cell r="I87" t="str">
            <v>60 - 70 %</v>
          </cell>
          <cell r="J87">
            <v>55000000</v>
          </cell>
          <cell r="K87">
            <v>0</v>
          </cell>
          <cell r="N87" t="str">
            <v>60 - 70 %</v>
          </cell>
          <cell r="O87">
            <v>0</v>
          </cell>
          <cell r="P87">
            <v>0</v>
          </cell>
          <cell r="R87" t="str">
            <v>60 - 70 %</v>
          </cell>
          <cell r="S87">
            <v>0</v>
          </cell>
          <cell r="T87">
            <v>0</v>
          </cell>
        </row>
        <row r="88">
          <cell r="E88" t="str">
            <v>70 - 80 %</v>
          </cell>
          <cell r="F88">
            <v>44000000</v>
          </cell>
          <cell r="G88">
            <v>0</v>
          </cell>
          <cell r="I88" t="str">
            <v>70 - 80 %</v>
          </cell>
          <cell r="J88">
            <v>44000000</v>
          </cell>
          <cell r="K88">
            <v>0</v>
          </cell>
          <cell r="N88" t="str">
            <v>70 - 80 %</v>
          </cell>
          <cell r="O88">
            <v>20000000000</v>
          </cell>
          <cell r="P88">
            <v>0</v>
          </cell>
          <cell r="R88" t="str">
            <v>70 - 80 %</v>
          </cell>
          <cell r="S88">
            <v>0</v>
          </cell>
          <cell r="T88">
            <v>0</v>
          </cell>
        </row>
        <row r="89">
          <cell r="E89" t="str">
            <v>80 - 85 %</v>
          </cell>
          <cell r="F89">
            <v>31000000</v>
          </cell>
          <cell r="G89">
            <v>0</v>
          </cell>
          <cell r="I89" t="str">
            <v>80 - 85 %</v>
          </cell>
          <cell r="J89">
            <v>31000000</v>
          </cell>
          <cell r="K89">
            <v>0</v>
          </cell>
          <cell r="N89" t="str">
            <v>80 - 85 %</v>
          </cell>
          <cell r="O89">
            <v>0</v>
          </cell>
          <cell r="P89">
            <v>0</v>
          </cell>
          <cell r="R89" t="str">
            <v>80 - 85 %</v>
          </cell>
          <cell r="S89">
            <v>0</v>
          </cell>
          <cell r="T89">
            <v>0</v>
          </cell>
        </row>
        <row r="90">
          <cell r="E90" t="str">
            <v>85 - 90 %</v>
          </cell>
          <cell r="F90">
            <v>20000000</v>
          </cell>
          <cell r="G90">
            <v>0</v>
          </cell>
          <cell r="I90" t="str">
            <v>85 - 90 %</v>
          </cell>
          <cell r="J90">
            <v>20000000</v>
          </cell>
          <cell r="K90">
            <v>0</v>
          </cell>
          <cell r="N90" t="str">
            <v>85 - 90 %</v>
          </cell>
          <cell r="O90">
            <v>0</v>
          </cell>
          <cell r="P90">
            <v>0</v>
          </cell>
          <cell r="R90" t="str">
            <v>85 - 90 %</v>
          </cell>
          <cell r="S90">
            <v>0</v>
          </cell>
          <cell r="T90">
            <v>0</v>
          </cell>
        </row>
        <row r="91">
          <cell r="E91" t="str">
            <v>90 - 95%</v>
          </cell>
          <cell r="F91">
            <v>5000000</v>
          </cell>
          <cell r="G91">
            <v>0</v>
          </cell>
          <cell r="I91" t="str">
            <v>90 - 95%</v>
          </cell>
          <cell r="J91">
            <v>5000000</v>
          </cell>
          <cell r="K91">
            <v>0</v>
          </cell>
          <cell r="N91" t="str">
            <v>90 - 95%</v>
          </cell>
          <cell r="O91">
            <v>50000000000</v>
          </cell>
          <cell r="P91">
            <v>0</v>
          </cell>
          <cell r="R91" t="str">
            <v>90 - 95%</v>
          </cell>
          <cell r="S91">
            <v>50000000000</v>
          </cell>
          <cell r="T91">
            <v>0</v>
          </cell>
        </row>
        <row r="92">
          <cell r="E92" t="str">
            <v>95 - 100%</v>
          </cell>
          <cell r="F92">
            <v>2000000</v>
          </cell>
          <cell r="G92">
            <v>0</v>
          </cell>
          <cell r="I92" t="str">
            <v>95 - 100%</v>
          </cell>
          <cell r="J92">
            <v>2000000</v>
          </cell>
          <cell r="K92">
            <v>0</v>
          </cell>
          <cell r="N92" t="str">
            <v>95 - 100%</v>
          </cell>
          <cell r="O92">
            <v>0</v>
          </cell>
          <cell r="P92">
            <v>0</v>
          </cell>
          <cell r="R92" t="str">
            <v>95 - 100%</v>
          </cell>
          <cell r="S92">
            <v>0</v>
          </cell>
          <cell r="T92">
            <v>0</v>
          </cell>
        </row>
        <row r="93">
          <cell r="E93" t="str">
            <v>100 - 105%</v>
          </cell>
          <cell r="F93">
            <v>4000000</v>
          </cell>
          <cell r="G93">
            <v>0</v>
          </cell>
          <cell r="I93" t="str">
            <v>100 - 105%</v>
          </cell>
          <cell r="J93">
            <v>4000000</v>
          </cell>
          <cell r="K93">
            <v>0</v>
          </cell>
          <cell r="N93" t="str">
            <v>100 - 105%</v>
          </cell>
          <cell r="O93">
            <v>0</v>
          </cell>
          <cell r="P93">
            <v>0</v>
          </cell>
          <cell r="R93" t="str">
            <v>100 - 105%</v>
          </cell>
          <cell r="S93">
            <v>0</v>
          </cell>
          <cell r="T93">
            <v>0</v>
          </cell>
        </row>
        <row r="94">
          <cell r="E94" t="str">
            <v>≥ 105%</v>
          </cell>
          <cell r="F94">
            <v>2500000</v>
          </cell>
          <cell r="G94">
            <v>0</v>
          </cell>
          <cell r="I94" t="str">
            <v>≥ 105%</v>
          </cell>
          <cell r="J94">
            <v>2500000</v>
          </cell>
          <cell r="K94">
            <v>0</v>
          </cell>
          <cell r="N94" t="str">
            <v>≥ 105%</v>
          </cell>
          <cell r="O94">
            <v>0</v>
          </cell>
          <cell r="P94">
            <v>0</v>
          </cell>
          <cell r="R94" t="str">
            <v>≥ 105%</v>
          </cell>
          <cell r="S94">
            <v>0</v>
          </cell>
          <cell r="T94">
            <v>0</v>
          </cell>
        </row>
        <row r="95">
          <cell r="E95" t="str">
            <v>Total</v>
          </cell>
          <cell r="F95">
            <v>425500000</v>
          </cell>
          <cell r="G95">
            <v>0</v>
          </cell>
          <cell r="I95" t="str">
            <v>Total</v>
          </cell>
          <cell r="J95">
            <v>425500000</v>
          </cell>
          <cell r="K95">
            <v>0</v>
          </cell>
          <cell r="N95" t="str">
            <v>Summe</v>
          </cell>
          <cell r="O95">
            <v>80000000000</v>
          </cell>
          <cell r="P95">
            <v>0</v>
          </cell>
          <cell r="R95" t="str">
            <v>Summe</v>
          </cell>
          <cell r="S95">
            <v>70000000000</v>
          </cell>
          <cell r="T95">
            <v>0</v>
          </cell>
        </row>
        <row r="96">
          <cell r="E96" t="str">
            <v>* residential including non-profit housing association</v>
          </cell>
          <cell r="N96" t="str">
            <v>*Residential inklusive gefördertem Wohnbau in Österreich</v>
          </cell>
        </row>
        <row r="98">
          <cell r="D98" t="str">
            <v>2.4</v>
          </cell>
          <cell r="E98" t="str">
            <v>Regional distribution</v>
          </cell>
          <cell r="M98" t="str">
            <v>2.4</v>
          </cell>
          <cell r="N98" t="str">
            <v>Regionale Verteilung</v>
          </cell>
        </row>
        <row r="100">
          <cell r="E100" t="str">
            <v xml:space="preserve">Regional distribution </v>
          </cell>
          <cell r="F100" t="str">
            <v>volume</v>
          </cell>
          <cell r="G100" t="str">
            <v>%</v>
          </cell>
          <cell r="N100" t="str">
            <v>Primärdeckung nach Ländern in Europa</v>
          </cell>
          <cell r="O100" t="str">
            <v>Volumen</v>
          </cell>
          <cell r="P100" t="str">
            <v>%</v>
          </cell>
        </row>
        <row r="101">
          <cell r="E101" t="str">
            <v>EU member states</v>
          </cell>
          <cell r="F101">
            <v>560000000</v>
          </cell>
          <cell r="G101">
            <v>0</v>
          </cell>
          <cell r="N101" t="str">
            <v>EU Staaten</v>
          </cell>
          <cell r="O101">
            <v>79999999992</v>
          </cell>
          <cell r="P101">
            <v>0</v>
          </cell>
        </row>
        <row r="102">
          <cell r="E102" t="str">
            <v>Austria</v>
          </cell>
          <cell r="F102">
            <v>20000000</v>
          </cell>
          <cell r="G102">
            <v>0</v>
          </cell>
          <cell r="N102" t="str">
            <v>Belgien</v>
          </cell>
          <cell r="O102">
            <v>9999999999</v>
          </cell>
          <cell r="P102">
            <v>0</v>
          </cell>
        </row>
        <row r="103">
          <cell r="E103" t="str">
            <v>Belgium</v>
          </cell>
          <cell r="F103">
            <v>20000000</v>
          </cell>
          <cell r="G103">
            <v>0</v>
          </cell>
          <cell r="N103" t="str">
            <v>Bulgarien</v>
          </cell>
          <cell r="P103">
            <v>0</v>
          </cell>
        </row>
        <row r="104">
          <cell r="E104" t="str">
            <v>Bulgaria</v>
          </cell>
          <cell r="F104">
            <v>20000000</v>
          </cell>
          <cell r="G104">
            <v>0</v>
          </cell>
          <cell r="N104" t="str">
            <v>Dänemark</v>
          </cell>
          <cell r="P104">
            <v>0</v>
          </cell>
        </row>
        <row r="105">
          <cell r="E105" t="str">
            <v>Croatia</v>
          </cell>
          <cell r="F105">
            <v>20000000</v>
          </cell>
          <cell r="G105">
            <v>0</v>
          </cell>
          <cell r="N105" t="str">
            <v>Deutschland</v>
          </cell>
          <cell r="O105">
            <v>9999999999</v>
          </cell>
          <cell r="P105">
            <v>0</v>
          </cell>
        </row>
        <row r="106">
          <cell r="E106" t="str">
            <v>Cyprus</v>
          </cell>
          <cell r="F106">
            <v>20000000</v>
          </cell>
          <cell r="G106">
            <v>0</v>
          </cell>
          <cell r="N106" t="str">
            <v>Estland</v>
          </cell>
          <cell r="O106">
            <v>9999999999</v>
          </cell>
          <cell r="P106">
            <v>0</v>
          </cell>
        </row>
        <row r="107">
          <cell r="E107" t="str">
            <v>Czech Republic</v>
          </cell>
          <cell r="F107">
            <v>20000000</v>
          </cell>
          <cell r="G107">
            <v>0</v>
          </cell>
          <cell r="N107" t="str">
            <v>Finnland</v>
          </cell>
          <cell r="O107">
            <v>9999999999</v>
          </cell>
          <cell r="P107">
            <v>0</v>
          </cell>
        </row>
        <row r="108">
          <cell r="E108" t="str">
            <v>Denmark</v>
          </cell>
          <cell r="F108">
            <v>20000000</v>
          </cell>
          <cell r="G108">
            <v>0</v>
          </cell>
          <cell r="N108" t="str">
            <v>Frankreich</v>
          </cell>
          <cell r="P108">
            <v>0</v>
          </cell>
        </row>
        <row r="109">
          <cell r="E109" t="str">
            <v>Estonia</v>
          </cell>
          <cell r="F109">
            <v>20000000</v>
          </cell>
          <cell r="G109">
            <v>0</v>
          </cell>
          <cell r="N109" t="str">
            <v>Griechenland</v>
          </cell>
          <cell r="P109">
            <v>0</v>
          </cell>
        </row>
        <row r="110">
          <cell r="E110" t="str">
            <v>Finnland</v>
          </cell>
          <cell r="F110">
            <v>20000000</v>
          </cell>
          <cell r="G110">
            <v>0</v>
          </cell>
          <cell r="N110" t="str">
            <v>Irland</v>
          </cell>
          <cell r="P110">
            <v>0</v>
          </cell>
        </row>
        <row r="111">
          <cell r="E111" t="str">
            <v>France</v>
          </cell>
          <cell r="F111">
            <v>20000000</v>
          </cell>
          <cell r="G111">
            <v>0</v>
          </cell>
          <cell r="N111" t="str">
            <v>Italien</v>
          </cell>
          <cell r="P111">
            <v>0</v>
          </cell>
        </row>
        <row r="112">
          <cell r="E112" t="str">
            <v>Germany</v>
          </cell>
          <cell r="F112">
            <v>20000000</v>
          </cell>
          <cell r="G112">
            <v>0</v>
          </cell>
          <cell r="N112" t="str">
            <v>Kroatien</v>
          </cell>
          <cell r="P112">
            <v>0</v>
          </cell>
        </row>
        <row r="113">
          <cell r="E113" t="str">
            <v>Greece</v>
          </cell>
          <cell r="F113">
            <v>20000000</v>
          </cell>
          <cell r="G113">
            <v>0</v>
          </cell>
          <cell r="N113" t="str">
            <v>Lettland</v>
          </cell>
          <cell r="O113">
            <v>9999999999</v>
          </cell>
          <cell r="P113">
            <v>0</v>
          </cell>
        </row>
        <row r="114">
          <cell r="E114" t="str">
            <v>Hungary</v>
          </cell>
          <cell r="F114">
            <v>20000000</v>
          </cell>
          <cell r="G114">
            <v>0</v>
          </cell>
          <cell r="N114" t="str">
            <v>Litauen</v>
          </cell>
          <cell r="P114">
            <v>0</v>
          </cell>
        </row>
        <row r="115">
          <cell r="E115" t="str">
            <v>Irland</v>
          </cell>
          <cell r="F115">
            <v>20000000</v>
          </cell>
          <cell r="G115">
            <v>0</v>
          </cell>
          <cell r="N115" t="str">
            <v>Luxemburg</v>
          </cell>
          <cell r="P115">
            <v>0</v>
          </cell>
        </row>
        <row r="116">
          <cell r="E116" t="str">
            <v>Italy</v>
          </cell>
          <cell r="F116">
            <v>20000000</v>
          </cell>
          <cell r="G116">
            <v>0</v>
          </cell>
          <cell r="N116" t="str">
            <v>Malta</v>
          </cell>
          <cell r="P116">
            <v>0</v>
          </cell>
        </row>
        <row r="117">
          <cell r="E117" t="str">
            <v>Latvia</v>
          </cell>
          <cell r="F117">
            <v>20000000</v>
          </cell>
          <cell r="G117">
            <v>0</v>
          </cell>
          <cell r="N117" t="str">
            <v>Niederlande</v>
          </cell>
          <cell r="P117">
            <v>0</v>
          </cell>
        </row>
        <row r="118">
          <cell r="E118" t="str">
            <v>Lituania</v>
          </cell>
          <cell r="F118">
            <v>20000000</v>
          </cell>
          <cell r="G118">
            <v>0</v>
          </cell>
          <cell r="N118" t="str">
            <v>Österreich</v>
          </cell>
          <cell r="O118">
            <v>9999999999</v>
          </cell>
          <cell r="P118">
            <v>0</v>
          </cell>
        </row>
        <row r="119">
          <cell r="E119" t="str">
            <v>Luxembourg</v>
          </cell>
          <cell r="F119">
            <v>20000000</v>
          </cell>
          <cell r="G119">
            <v>0</v>
          </cell>
          <cell r="N119" t="str">
            <v>Polen</v>
          </cell>
          <cell r="P119">
            <v>0</v>
          </cell>
        </row>
        <row r="120">
          <cell r="E120" t="str">
            <v>Malta</v>
          </cell>
          <cell r="F120">
            <v>20000000</v>
          </cell>
          <cell r="G120">
            <v>0</v>
          </cell>
          <cell r="N120" t="str">
            <v>Portugal</v>
          </cell>
          <cell r="P120">
            <v>0</v>
          </cell>
        </row>
        <row r="121">
          <cell r="E121" t="str">
            <v>Poland</v>
          </cell>
          <cell r="F121">
            <v>20000000</v>
          </cell>
          <cell r="G121">
            <v>0</v>
          </cell>
          <cell r="N121" t="str">
            <v>Rumänien</v>
          </cell>
          <cell r="O121">
            <v>9999999999</v>
          </cell>
          <cell r="P121">
            <v>0</v>
          </cell>
        </row>
        <row r="122">
          <cell r="E122" t="str">
            <v>Portugal</v>
          </cell>
          <cell r="F122">
            <v>20000000</v>
          </cell>
          <cell r="G122">
            <v>0</v>
          </cell>
          <cell r="N122" t="str">
            <v>Schweden</v>
          </cell>
          <cell r="P122">
            <v>0</v>
          </cell>
        </row>
        <row r="123">
          <cell r="E123" t="str">
            <v>Romania</v>
          </cell>
          <cell r="F123">
            <v>20000000</v>
          </cell>
          <cell r="G123">
            <v>0</v>
          </cell>
          <cell r="N123" t="str">
            <v>Slowakei</v>
          </cell>
          <cell r="P123">
            <v>0</v>
          </cell>
        </row>
        <row r="124">
          <cell r="E124" t="str">
            <v>Slovakia</v>
          </cell>
          <cell r="F124">
            <v>20000000</v>
          </cell>
          <cell r="G124">
            <v>0</v>
          </cell>
          <cell r="N124" t="str">
            <v>Slowenien</v>
          </cell>
          <cell r="O124">
            <v>9999999999</v>
          </cell>
          <cell r="P124">
            <v>0</v>
          </cell>
        </row>
        <row r="125">
          <cell r="E125" t="str">
            <v>Slovenia</v>
          </cell>
          <cell r="F125">
            <v>20000000</v>
          </cell>
          <cell r="G125">
            <v>0</v>
          </cell>
          <cell r="N125" t="str">
            <v>Spanien</v>
          </cell>
          <cell r="P125">
            <v>0</v>
          </cell>
        </row>
        <row r="126">
          <cell r="E126" t="str">
            <v>Spain</v>
          </cell>
          <cell r="F126">
            <v>20000000</v>
          </cell>
          <cell r="G126">
            <v>0</v>
          </cell>
          <cell r="N126" t="str">
            <v>Tschechien</v>
          </cell>
          <cell r="P126">
            <v>0</v>
          </cell>
        </row>
        <row r="127">
          <cell r="E127" t="str">
            <v>Sweden</v>
          </cell>
          <cell r="F127">
            <v>20000000</v>
          </cell>
          <cell r="G127">
            <v>0</v>
          </cell>
          <cell r="N127" t="str">
            <v>Ungarn</v>
          </cell>
          <cell r="P127">
            <v>0</v>
          </cell>
        </row>
        <row r="128">
          <cell r="E128" t="str">
            <v>The Netherlands</v>
          </cell>
          <cell r="F128">
            <v>20000000</v>
          </cell>
          <cell r="G128">
            <v>0</v>
          </cell>
          <cell r="N128" t="str">
            <v>Vereinigtes Königreich</v>
          </cell>
          <cell r="P128">
            <v>0</v>
          </cell>
        </row>
        <row r="129">
          <cell r="E129" t="str">
            <v>UK</v>
          </cell>
          <cell r="F129">
            <v>20000000</v>
          </cell>
          <cell r="G129">
            <v>0</v>
          </cell>
          <cell r="N129" t="str">
            <v>Zypern</v>
          </cell>
          <cell r="P129">
            <v>0</v>
          </cell>
        </row>
        <row r="130">
          <cell r="E130" t="str">
            <v>EEA member states</v>
          </cell>
          <cell r="F130">
            <v>60000000</v>
          </cell>
          <cell r="G130">
            <v>0</v>
          </cell>
          <cell r="N130" t="str">
            <v>EWR Staaten</v>
          </cell>
          <cell r="O130">
            <v>0</v>
          </cell>
          <cell r="P130">
            <v>0</v>
          </cell>
        </row>
        <row r="131">
          <cell r="E131" t="str">
            <v>Island</v>
          </cell>
          <cell r="F131">
            <v>20000000</v>
          </cell>
          <cell r="G131">
            <v>0</v>
          </cell>
          <cell r="N131" t="str">
            <v>Island</v>
          </cell>
          <cell r="P131">
            <v>0</v>
          </cell>
        </row>
        <row r="132">
          <cell r="E132" t="str">
            <v>Liechtenstein</v>
          </cell>
          <cell r="F132">
            <v>20000000</v>
          </cell>
          <cell r="G132">
            <v>0</v>
          </cell>
          <cell r="N132" t="str">
            <v>Liechtenstein</v>
          </cell>
          <cell r="P132">
            <v>0</v>
          </cell>
        </row>
        <row r="133">
          <cell r="E133" t="str">
            <v>Norway</v>
          </cell>
          <cell r="F133">
            <v>20000000</v>
          </cell>
          <cell r="G133">
            <v>0</v>
          </cell>
          <cell r="N133" t="str">
            <v>Norwegen</v>
          </cell>
          <cell r="P133">
            <v>0</v>
          </cell>
        </row>
        <row r="134">
          <cell r="E134" t="str">
            <v>other countries</v>
          </cell>
          <cell r="F134">
            <v>20000000</v>
          </cell>
          <cell r="G134">
            <v>0</v>
          </cell>
          <cell r="N134" t="str">
            <v>Sonstige Länder</v>
          </cell>
          <cell r="O134">
            <v>23333330000</v>
          </cell>
          <cell r="P134">
            <v>0</v>
          </cell>
        </row>
        <row r="135">
          <cell r="E135" t="str">
            <v>Switzerland</v>
          </cell>
          <cell r="F135">
            <v>20000000</v>
          </cell>
          <cell r="G135">
            <v>0</v>
          </cell>
          <cell r="N135" t="str">
            <v>Schweiz</v>
          </cell>
          <cell r="O135">
            <v>0</v>
          </cell>
          <cell r="P135">
            <v>0</v>
          </cell>
        </row>
        <row r="136">
          <cell r="E136" t="str">
            <v>Total</v>
          </cell>
          <cell r="F136">
            <v>660000000</v>
          </cell>
          <cell r="G136">
            <v>1</v>
          </cell>
          <cell r="N136" t="str">
            <v>Summe</v>
          </cell>
          <cell r="O136">
            <v>103333329992</v>
          </cell>
          <cell r="P136">
            <v>0</v>
          </cell>
        </row>
        <row r="138">
          <cell r="E138" t="str">
            <v>Regional distribution in Austria</v>
          </cell>
          <cell r="N138" t="str">
            <v>Primärdeckung nach Bundesländern in Österreich</v>
          </cell>
        </row>
        <row r="139">
          <cell r="F139" t="str">
            <v>volume</v>
          </cell>
          <cell r="I139" t="str">
            <v>Share in AT</v>
          </cell>
          <cell r="J139" t="str">
            <v>Share in total</v>
          </cell>
          <cell r="O139" t="str">
            <v>Volumen</v>
          </cell>
          <cell r="R139" t="str">
            <v>Anteil AT (%)</v>
          </cell>
          <cell r="S139" t="str">
            <v>Gesamtdeckung  Anteil (%)</v>
          </cell>
        </row>
        <row r="140">
          <cell r="E140" t="str">
            <v>Republic of Austria</v>
          </cell>
          <cell r="F140">
            <v>20000000</v>
          </cell>
          <cell r="I140">
            <v>0</v>
          </cell>
          <cell r="J140">
            <v>0</v>
          </cell>
          <cell r="N140" t="str">
            <v>Republik Österreich</v>
          </cell>
          <cell r="O140">
            <v>0</v>
          </cell>
          <cell r="R140">
            <v>0</v>
          </cell>
          <cell r="S140">
            <v>0</v>
          </cell>
        </row>
        <row r="141">
          <cell r="E141" t="str">
            <v>Vienna</v>
          </cell>
          <cell r="F141">
            <v>20000000</v>
          </cell>
          <cell r="I141">
            <v>0</v>
          </cell>
          <cell r="J141">
            <v>0</v>
          </cell>
          <cell r="N141" t="str">
            <v>Wien</v>
          </cell>
          <cell r="O141">
            <v>9999999999</v>
          </cell>
          <cell r="R141">
            <v>0</v>
          </cell>
          <cell r="S141">
            <v>0</v>
          </cell>
        </row>
        <row r="142">
          <cell r="E142" t="str">
            <v>Lower Austria</v>
          </cell>
          <cell r="F142">
            <v>20000000</v>
          </cell>
          <cell r="I142">
            <v>0</v>
          </cell>
          <cell r="J142">
            <v>0</v>
          </cell>
          <cell r="N142" t="str">
            <v>Niederösterreich</v>
          </cell>
          <cell r="O142">
            <v>9999999999</v>
          </cell>
          <cell r="R142">
            <v>0</v>
          </cell>
          <cell r="S142">
            <v>0</v>
          </cell>
        </row>
        <row r="143">
          <cell r="E143" t="str">
            <v>Upper Austria</v>
          </cell>
          <cell r="F143">
            <v>20000000</v>
          </cell>
          <cell r="I143">
            <v>0</v>
          </cell>
          <cell r="J143">
            <v>0</v>
          </cell>
          <cell r="N143" t="str">
            <v>Oberösterreich</v>
          </cell>
          <cell r="O143">
            <v>9999999999</v>
          </cell>
          <cell r="R143">
            <v>0</v>
          </cell>
          <cell r="S143">
            <v>0</v>
          </cell>
        </row>
        <row r="144">
          <cell r="E144" t="str">
            <v>Salzburg</v>
          </cell>
          <cell r="F144">
            <v>20000000</v>
          </cell>
          <cell r="I144">
            <v>0</v>
          </cell>
          <cell r="J144">
            <v>0</v>
          </cell>
          <cell r="N144" t="str">
            <v>Salzburg</v>
          </cell>
          <cell r="O144">
            <v>9999999999</v>
          </cell>
          <cell r="R144">
            <v>0</v>
          </cell>
          <cell r="S144">
            <v>0</v>
          </cell>
        </row>
        <row r="145">
          <cell r="E145" t="str">
            <v>Tyrol</v>
          </cell>
          <cell r="F145">
            <v>20000000</v>
          </cell>
          <cell r="I145">
            <v>0</v>
          </cell>
          <cell r="J145">
            <v>0</v>
          </cell>
          <cell r="N145" t="str">
            <v>Tirol</v>
          </cell>
          <cell r="O145">
            <v>9999999999</v>
          </cell>
          <cell r="R145">
            <v>0</v>
          </cell>
          <cell r="S145">
            <v>0</v>
          </cell>
        </row>
        <row r="146">
          <cell r="E146" t="str">
            <v>Styria</v>
          </cell>
          <cell r="F146">
            <v>20000000</v>
          </cell>
          <cell r="I146">
            <v>0</v>
          </cell>
          <cell r="J146">
            <v>0</v>
          </cell>
          <cell r="N146" t="str">
            <v>Steiermark</v>
          </cell>
          <cell r="O146">
            <v>9999999999</v>
          </cell>
          <cell r="R146">
            <v>0</v>
          </cell>
          <cell r="S146">
            <v>0</v>
          </cell>
        </row>
        <row r="147">
          <cell r="E147" t="str">
            <v>Carinthia</v>
          </cell>
          <cell r="F147">
            <v>20000000</v>
          </cell>
          <cell r="I147">
            <v>0</v>
          </cell>
          <cell r="J147">
            <v>0</v>
          </cell>
          <cell r="N147" t="str">
            <v>Kärnten</v>
          </cell>
          <cell r="O147">
            <v>9999999999</v>
          </cell>
          <cell r="R147">
            <v>0</v>
          </cell>
          <cell r="S147">
            <v>0</v>
          </cell>
        </row>
        <row r="148">
          <cell r="E148" t="str">
            <v>Burgenland</v>
          </cell>
          <cell r="F148">
            <v>20000000</v>
          </cell>
          <cell r="I148">
            <v>0</v>
          </cell>
          <cell r="J148">
            <v>0</v>
          </cell>
          <cell r="N148" t="str">
            <v>Burgenland</v>
          </cell>
          <cell r="O148">
            <v>9999999999</v>
          </cell>
          <cell r="R148">
            <v>0</v>
          </cell>
          <cell r="S148">
            <v>0</v>
          </cell>
        </row>
        <row r="149">
          <cell r="E149" t="str">
            <v>Vorarlberg</v>
          </cell>
          <cell r="F149">
            <v>20000000</v>
          </cell>
          <cell r="I149">
            <v>0</v>
          </cell>
          <cell r="J149">
            <v>0</v>
          </cell>
          <cell r="N149" t="str">
            <v>Vorarlberg</v>
          </cell>
          <cell r="O149">
            <v>9999999999</v>
          </cell>
          <cell r="R149">
            <v>0</v>
          </cell>
          <cell r="S149">
            <v>0</v>
          </cell>
        </row>
        <row r="150">
          <cell r="E150" t="str">
            <v>Total</v>
          </cell>
          <cell r="F150">
            <v>200000000</v>
          </cell>
          <cell r="I150">
            <v>0</v>
          </cell>
          <cell r="J150">
            <v>0</v>
          </cell>
          <cell r="N150" t="str">
            <v>Summe</v>
          </cell>
          <cell r="O150">
            <v>89999999991</v>
          </cell>
          <cell r="R150">
            <v>0</v>
          </cell>
          <cell r="S150">
            <v>0</v>
          </cell>
        </row>
        <row r="152">
          <cell r="D152" t="str">
            <v>2.5</v>
          </cell>
          <cell r="E152" t="str">
            <v>Distribution by use of property</v>
          </cell>
          <cell r="M152" t="str">
            <v>2.5</v>
          </cell>
          <cell r="N152" t="str">
            <v>Verteilung nach Nutzungsart</v>
          </cell>
        </row>
        <row r="154">
          <cell r="E154" t="str">
            <v>Primary cover pool by use of property</v>
          </cell>
          <cell r="I154" t="str">
            <v>volume</v>
          </cell>
          <cell r="J154" t="str">
            <v>%</v>
          </cell>
          <cell r="N154" t="str">
            <v>Primärdeckung nach Nutzungsart</v>
          </cell>
          <cell r="R154" t="str">
            <v>Volumen</v>
          </cell>
          <cell r="S154" t="str">
            <v>%</v>
          </cell>
        </row>
        <row r="155">
          <cell r="E155" t="str">
            <v>Residential</v>
          </cell>
          <cell r="I155">
            <v>60000000</v>
          </cell>
          <cell r="J155">
            <v>1</v>
          </cell>
          <cell r="N155" t="str">
            <v>Wohnwirtschaftlich genutzt</v>
          </cell>
          <cell r="R155">
            <v>15000000000</v>
          </cell>
          <cell r="S155">
            <v>250</v>
          </cell>
        </row>
        <row r="156">
          <cell r="E156" t="str">
            <v xml:space="preserve">   thereof private use, incl. Multi-family housing</v>
          </cell>
          <cell r="I156">
            <v>20000000</v>
          </cell>
          <cell r="J156">
            <v>0.33333333333333331</v>
          </cell>
          <cell r="N156" t="str">
            <v xml:space="preserve">   davon privat genutzt (inkl. Mehrfamilienhäuser)</v>
          </cell>
          <cell r="R156">
            <v>5000000000</v>
          </cell>
          <cell r="S156">
            <v>83.333333333333329</v>
          </cell>
        </row>
        <row r="157">
          <cell r="E157" t="str">
            <v xml:space="preserve">   thereof non-profit housing association</v>
          </cell>
          <cell r="I157">
            <v>20000000</v>
          </cell>
          <cell r="J157">
            <v>0.33333333333333331</v>
          </cell>
          <cell r="N157" t="str">
            <v xml:space="preserve">   davon geförderter Wohnbau</v>
          </cell>
          <cell r="R157">
            <v>5000000000</v>
          </cell>
          <cell r="S157">
            <v>83.333333333333329</v>
          </cell>
        </row>
        <row r="158">
          <cell r="E158" t="str">
            <v xml:space="preserve">   thereof buy-to-let</v>
          </cell>
          <cell r="I158">
            <v>20000000</v>
          </cell>
          <cell r="J158">
            <v>0.33333333333333331</v>
          </cell>
          <cell r="N158" t="str">
            <v xml:space="preserve">   davon gewerblich genutzt</v>
          </cell>
          <cell r="R158">
            <v>5000000000</v>
          </cell>
          <cell r="S158">
            <v>83.333333333333329</v>
          </cell>
        </row>
        <row r="159">
          <cell r="E159" t="str">
            <v>Commercial real estate</v>
          </cell>
          <cell r="I159">
            <v>140000000</v>
          </cell>
          <cell r="J159">
            <v>2.333333333333333</v>
          </cell>
          <cell r="N159" t="str">
            <v>Gewerblich genutzt</v>
          </cell>
          <cell r="R159">
            <v>0</v>
          </cell>
          <cell r="S159">
            <v>0</v>
          </cell>
        </row>
        <row r="160">
          <cell r="E160" t="str">
            <v xml:space="preserve">   thereof Retail</v>
          </cell>
          <cell r="I160">
            <v>20000000</v>
          </cell>
          <cell r="J160">
            <v>0.33333333333333331</v>
          </cell>
          <cell r="N160" t="str">
            <v xml:space="preserve">   davon Einzelhandel</v>
          </cell>
          <cell r="R160">
            <v>0</v>
          </cell>
          <cell r="S160">
            <v>0</v>
          </cell>
        </row>
        <row r="161">
          <cell r="E161" t="str">
            <v xml:space="preserve">   thereof Office</v>
          </cell>
          <cell r="I161">
            <v>20000000</v>
          </cell>
          <cell r="J161">
            <v>0.33333333333333331</v>
          </cell>
          <cell r="N161" t="str">
            <v xml:space="preserve">   davon Büro</v>
          </cell>
          <cell r="R161">
            <v>0</v>
          </cell>
          <cell r="S161">
            <v>0</v>
          </cell>
        </row>
        <row r="162">
          <cell r="E162" t="str">
            <v xml:space="preserve">   thereof Tourism/ hotel</v>
          </cell>
          <cell r="I162">
            <v>20000000</v>
          </cell>
          <cell r="J162">
            <v>0.33333333333333331</v>
          </cell>
          <cell r="N162" t="str">
            <v xml:space="preserve">   davon Tourismus/Hotel</v>
          </cell>
          <cell r="R162">
            <v>0</v>
          </cell>
          <cell r="S162">
            <v>0</v>
          </cell>
        </row>
        <row r="163">
          <cell r="E163" t="str">
            <v xml:space="preserve">   thereof Agriculture</v>
          </cell>
          <cell r="I163">
            <v>20000000</v>
          </cell>
          <cell r="J163">
            <v>0.33333333333333331</v>
          </cell>
          <cell r="N163" t="str">
            <v xml:space="preserve">   davon Landwirtschaft</v>
          </cell>
          <cell r="R163">
            <v>0</v>
          </cell>
          <cell r="S163">
            <v>0</v>
          </cell>
        </row>
        <row r="164">
          <cell r="E164" t="str">
            <v xml:space="preserve">   thereof Industrial</v>
          </cell>
          <cell r="I164">
            <v>20000000</v>
          </cell>
          <cell r="J164">
            <v>0.33333333333333331</v>
          </cell>
          <cell r="N164" t="str">
            <v xml:space="preserve">   davon Industriegebäude</v>
          </cell>
          <cell r="R164">
            <v>0</v>
          </cell>
          <cell r="S164">
            <v>0</v>
          </cell>
        </row>
        <row r="165">
          <cell r="E165" t="str">
            <v xml:space="preserve">   Mixed use</v>
          </cell>
          <cell r="I165">
            <v>20000000</v>
          </cell>
          <cell r="J165">
            <v>0.33333333333333331</v>
          </cell>
          <cell r="N165" t="str">
            <v xml:space="preserve">   Gemischte Nutzung</v>
          </cell>
          <cell r="R165">
            <v>0</v>
          </cell>
          <cell r="S165">
            <v>0</v>
          </cell>
        </row>
        <row r="166">
          <cell r="E166" t="str">
            <v xml:space="preserve">   Other</v>
          </cell>
          <cell r="I166">
            <v>20000000</v>
          </cell>
          <cell r="J166">
            <v>0.33333333333333331</v>
          </cell>
          <cell r="N166" t="str">
            <v xml:space="preserve">   Sonstige</v>
          </cell>
          <cell r="R166">
            <v>0</v>
          </cell>
          <cell r="S166">
            <v>0</v>
          </cell>
        </row>
        <row r="167">
          <cell r="E167" t="str">
            <v>Total</v>
          </cell>
          <cell r="I167">
            <v>200000000</v>
          </cell>
          <cell r="J167">
            <v>3.333333333333333</v>
          </cell>
          <cell r="N167" t="str">
            <v>Summe</v>
          </cell>
          <cell r="R167">
            <v>15000000000</v>
          </cell>
          <cell r="S167">
            <v>250</v>
          </cell>
        </row>
        <row r="169">
          <cell r="D169" t="str">
            <v>2.6</v>
          </cell>
          <cell r="E169" t="str">
            <v xml:space="preserve">Seasoning </v>
          </cell>
          <cell r="M169" t="str">
            <v>2.6</v>
          </cell>
          <cell r="N169" t="str">
            <v>Seasoning der Primärdeckung</v>
          </cell>
        </row>
        <row r="171">
          <cell r="E171" t="str">
            <v>WA seasoning (in years)</v>
          </cell>
          <cell r="J171">
            <v>5</v>
          </cell>
          <cell r="N171" t="str">
            <v>Gewichtetes Durchschnittsseasoning der Deckungswerte (in Jahren)</v>
          </cell>
          <cell r="S171">
            <v>5</v>
          </cell>
        </row>
        <row r="173">
          <cell r="E173" t="str">
            <v>Seasoning consolidated</v>
          </cell>
          <cell r="F173" t="str">
            <v>volume</v>
          </cell>
          <cell r="G173" t="str">
            <v>%</v>
          </cell>
          <cell r="N173" t="str">
            <v>Seasoning konsolidiert</v>
          </cell>
          <cell r="O173" t="str">
            <v>Volumen</v>
          </cell>
          <cell r="P173" t="str">
            <v>%</v>
          </cell>
        </row>
        <row r="174">
          <cell r="E174" t="str">
            <v>≤ 12 months</v>
          </cell>
          <cell r="F174">
            <v>20000000</v>
          </cell>
          <cell r="G174">
            <v>0</v>
          </cell>
          <cell r="N174" t="str">
            <v>≤ 12 Monate</v>
          </cell>
          <cell r="O174">
            <v>999999999</v>
          </cell>
          <cell r="P174">
            <v>0</v>
          </cell>
        </row>
        <row r="175">
          <cell r="E175" t="str">
            <v>12 - 36 months</v>
          </cell>
          <cell r="F175">
            <v>40000000</v>
          </cell>
          <cell r="G175">
            <v>0</v>
          </cell>
          <cell r="N175" t="str">
            <v>12 - 36 Monate</v>
          </cell>
          <cell r="O175">
            <v>999999999</v>
          </cell>
          <cell r="P175">
            <v>0</v>
          </cell>
        </row>
        <row r="176">
          <cell r="E176" t="str">
            <v>36 - 60 months</v>
          </cell>
          <cell r="F176">
            <v>80000000</v>
          </cell>
          <cell r="G176">
            <v>0</v>
          </cell>
          <cell r="N176" t="str">
            <v>36 - 60 Monate</v>
          </cell>
          <cell r="O176">
            <v>3000000000</v>
          </cell>
          <cell r="P176">
            <v>0</v>
          </cell>
        </row>
        <row r="177">
          <cell r="E177" t="str">
            <v>60 - 120 months</v>
          </cell>
          <cell r="F177">
            <v>20000000</v>
          </cell>
          <cell r="G177">
            <v>0</v>
          </cell>
          <cell r="N177" t="str">
            <v>60 - 120 Monate</v>
          </cell>
          <cell r="O177">
            <v>999999999</v>
          </cell>
          <cell r="P177">
            <v>0</v>
          </cell>
        </row>
        <row r="178">
          <cell r="E178" t="str">
            <v>≥ 120 months</v>
          </cell>
          <cell r="F178">
            <v>20000000</v>
          </cell>
          <cell r="G178">
            <v>0</v>
          </cell>
          <cell r="N178" t="str">
            <v>≥ 120 Monate</v>
          </cell>
          <cell r="O178">
            <v>999999999</v>
          </cell>
          <cell r="P178">
            <v>0</v>
          </cell>
        </row>
        <row r="179">
          <cell r="E179" t="str">
            <v>Total</v>
          </cell>
          <cell r="F179">
            <v>180000000</v>
          </cell>
          <cell r="G179">
            <v>0</v>
          </cell>
          <cell r="N179" t="str">
            <v>Summe</v>
          </cell>
          <cell r="O179">
            <v>6999999996</v>
          </cell>
          <cell r="P179">
            <v>0</v>
          </cell>
        </row>
        <row r="181">
          <cell r="E181" t="str">
            <v>Seasoning residential*</v>
          </cell>
          <cell r="F181" t="str">
            <v>volume</v>
          </cell>
          <cell r="G181" t="str">
            <v>%</v>
          </cell>
          <cell r="I181" t="str">
            <v>Seasoning commercial</v>
          </cell>
          <cell r="J181" t="str">
            <v>volume</v>
          </cell>
          <cell r="K181" t="str">
            <v>%</v>
          </cell>
          <cell r="N181" t="str">
            <v>Seasoning Residential*</v>
          </cell>
          <cell r="O181" t="str">
            <v>Volumen</v>
          </cell>
          <cell r="P181" t="str">
            <v>%</v>
          </cell>
          <cell r="R181" t="str">
            <v>Seasoning Commercial</v>
          </cell>
          <cell r="S181" t="str">
            <v>Volumen</v>
          </cell>
          <cell r="T181" t="str">
            <v>%</v>
          </cell>
        </row>
        <row r="182">
          <cell r="E182" t="str">
            <v>≤ 12 months</v>
          </cell>
          <cell r="F182">
            <v>20000000</v>
          </cell>
          <cell r="G182">
            <v>0</v>
          </cell>
          <cell r="I182" t="str">
            <v>≤ 12 months</v>
          </cell>
          <cell r="J182">
            <v>20000000</v>
          </cell>
          <cell r="K182">
            <v>0</v>
          </cell>
          <cell r="N182" t="str">
            <v>≤ 12 Monate</v>
          </cell>
          <cell r="O182">
            <v>5000000000</v>
          </cell>
          <cell r="P182">
            <v>0</v>
          </cell>
          <cell r="R182" t="str">
            <v>≤ 12 Monate</v>
          </cell>
          <cell r="S182">
            <v>5000000000</v>
          </cell>
          <cell r="T182">
            <v>0</v>
          </cell>
        </row>
        <row r="183">
          <cell r="E183" t="str">
            <v>12 - 36 months</v>
          </cell>
          <cell r="F183">
            <v>40000000</v>
          </cell>
          <cell r="G183">
            <v>0</v>
          </cell>
          <cell r="I183" t="str">
            <v>12 - 36 months</v>
          </cell>
          <cell r="J183">
            <v>40000000</v>
          </cell>
          <cell r="K183">
            <v>0</v>
          </cell>
          <cell r="N183" t="str">
            <v>12 - 36 Monate</v>
          </cell>
          <cell r="O183">
            <v>6000000000</v>
          </cell>
          <cell r="P183">
            <v>0</v>
          </cell>
          <cell r="R183" t="str">
            <v>12 - 36 Monate</v>
          </cell>
          <cell r="S183">
            <v>3000000000</v>
          </cell>
          <cell r="T183">
            <v>0</v>
          </cell>
        </row>
        <row r="184">
          <cell r="E184" t="str">
            <v>36 - 60 months</v>
          </cell>
          <cell r="F184">
            <v>80000000</v>
          </cell>
          <cell r="G184">
            <v>0</v>
          </cell>
          <cell r="I184" t="str">
            <v>36 - 60 months</v>
          </cell>
          <cell r="J184">
            <v>80000000</v>
          </cell>
          <cell r="K184">
            <v>0</v>
          </cell>
          <cell r="N184" t="str">
            <v>36 - 60 Monate</v>
          </cell>
          <cell r="O184">
            <v>8000000000</v>
          </cell>
          <cell r="P184">
            <v>0</v>
          </cell>
          <cell r="R184" t="str">
            <v>36 - 60 Monate</v>
          </cell>
          <cell r="S184">
            <v>4000000000</v>
          </cell>
          <cell r="T184">
            <v>0</v>
          </cell>
        </row>
        <row r="185">
          <cell r="E185" t="str">
            <v>60 - 120 months</v>
          </cell>
          <cell r="F185">
            <v>20000000</v>
          </cell>
          <cell r="G185">
            <v>0</v>
          </cell>
          <cell r="I185" t="str">
            <v>60 - 120 months</v>
          </cell>
          <cell r="J185">
            <v>20000000</v>
          </cell>
          <cell r="K185">
            <v>0</v>
          </cell>
          <cell r="N185" t="str">
            <v>60 - 120 Monate</v>
          </cell>
          <cell r="O185">
            <v>999999999</v>
          </cell>
          <cell r="P185">
            <v>0</v>
          </cell>
          <cell r="R185" t="str">
            <v>60 - 120 Monate</v>
          </cell>
          <cell r="S185">
            <v>999999999</v>
          </cell>
          <cell r="T185">
            <v>0</v>
          </cell>
        </row>
        <row r="186">
          <cell r="E186" t="str">
            <v>≥ 120 months</v>
          </cell>
          <cell r="F186">
            <v>20000000</v>
          </cell>
          <cell r="G186">
            <v>0</v>
          </cell>
          <cell r="I186" t="str">
            <v>≥ 120 months</v>
          </cell>
          <cell r="J186">
            <v>20000000</v>
          </cell>
          <cell r="K186">
            <v>0</v>
          </cell>
          <cell r="N186" t="str">
            <v>≥ 120 Monate</v>
          </cell>
          <cell r="O186">
            <v>999999999</v>
          </cell>
          <cell r="P186">
            <v>0</v>
          </cell>
          <cell r="R186" t="str">
            <v>≥ 120 Monate</v>
          </cell>
          <cell r="S186">
            <v>999999999</v>
          </cell>
          <cell r="T186">
            <v>0</v>
          </cell>
        </row>
        <row r="187">
          <cell r="E187" t="str">
            <v>Total</v>
          </cell>
          <cell r="F187">
            <v>180000000</v>
          </cell>
          <cell r="G187">
            <v>0</v>
          </cell>
          <cell r="I187" t="str">
            <v>Total</v>
          </cell>
          <cell r="J187">
            <v>180000000</v>
          </cell>
          <cell r="K187">
            <v>0</v>
          </cell>
          <cell r="N187" t="str">
            <v>Summe</v>
          </cell>
          <cell r="O187">
            <v>20999999998</v>
          </cell>
          <cell r="P187">
            <v>0</v>
          </cell>
          <cell r="R187" t="str">
            <v>Summe</v>
          </cell>
          <cell r="S187">
            <v>13999999998</v>
          </cell>
          <cell r="T187">
            <v>0</v>
          </cell>
        </row>
        <row r="188">
          <cell r="E188" t="str">
            <v>* residential including non-profit housing association</v>
          </cell>
          <cell r="N188" t="str">
            <v>*Residential inklusive gefördertem Wohnbau</v>
          </cell>
        </row>
        <row r="190">
          <cell r="D190" t="str">
            <v>2.7</v>
          </cell>
          <cell r="E190" t="str">
            <v>Distribution by tenor</v>
          </cell>
          <cell r="M190" t="str">
            <v>2.7</v>
          </cell>
          <cell r="N190" t="str">
            <v>Laufzeitenverteilung</v>
          </cell>
        </row>
        <row r="192">
          <cell r="E192" t="str">
            <v>Distribution by tenor</v>
          </cell>
          <cell r="K192" t="str">
            <v>in years</v>
          </cell>
          <cell r="N192" t="str">
            <v>Gesamt</v>
          </cell>
        </row>
        <row r="193">
          <cell r="E193" t="str">
            <v>WA residual life (incl. contractural amortisation)</v>
          </cell>
          <cell r="K193">
            <v>5</v>
          </cell>
          <cell r="N193" t="str">
            <v>WAL - Durchschnittlich gewichtete Restlaufzeit der Primärdeckung
(in Jahren inkl. vertraglich vereinbarter Tilgungen)</v>
          </cell>
          <cell r="T193">
            <v>5.5</v>
          </cell>
        </row>
        <row r="194">
          <cell r="E194" t="str">
            <v>WA residual life (final legal maturity)</v>
          </cell>
          <cell r="K194">
            <v>5</v>
          </cell>
          <cell r="N194" t="str">
            <v>WAL - Durchschnittlich gewichtete Restlaufzeit der Primärdeckung (in Jahren vertraglich)</v>
          </cell>
          <cell r="T194">
            <v>12</v>
          </cell>
        </row>
        <row r="195">
          <cell r="E195" t="str">
            <v>WA residual life of issues (final legal maturity)</v>
          </cell>
          <cell r="K195">
            <v>5</v>
          </cell>
          <cell r="N195" t="str">
            <v>WAL Emissionen (Endfälligkeit in Jahren)</v>
          </cell>
          <cell r="T195">
            <v>1.6</v>
          </cell>
        </row>
        <row r="197">
          <cell r="E197" t="str">
            <v>Commercial</v>
          </cell>
          <cell r="N197" t="str">
            <v>Commercial</v>
          </cell>
        </row>
        <row r="198">
          <cell r="E198" t="str">
            <v>WA residual life (incl. contractural amortisation)</v>
          </cell>
          <cell r="K198">
            <v>5</v>
          </cell>
          <cell r="N198" t="str">
            <v>WAL - Durchschnittlich gewichtete Restlaufzeit der Primärdeckung
(in Jahren inkl. vertraglich vereinbarter Tilgungen)</v>
          </cell>
          <cell r="T198">
            <v>5.5</v>
          </cell>
        </row>
        <row r="199">
          <cell r="E199" t="str">
            <v>WA residual life (final legal maturity)</v>
          </cell>
          <cell r="K199">
            <v>5</v>
          </cell>
          <cell r="N199" t="str">
            <v>WAL - Durchschnittlich gewichtete Restlaufzeit der Primärdeckung (in Jahren vertraglich)</v>
          </cell>
          <cell r="T199">
            <v>13</v>
          </cell>
        </row>
        <row r="201">
          <cell r="E201" t="str">
            <v>Residential</v>
          </cell>
          <cell r="N201" t="str">
            <v>Residential</v>
          </cell>
        </row>
        <row r="202">
          <cell r="E202" t="str">
            <v>WA residual life (incl. contractural amortisation)</v>
          </cell>
          <cell r="K202">
            <v>5</v>
          </cell>
          <cell r="N202" t="str">
            <v>WAL - Durchschnittlich gewichtete Restlaufzeit der Primärdeckung
(in Jahren inkl. vertraglich vereinbarter Tilgungen)</v>
          </cell>
          <cell r="T202">
            <v>5.5</v>
          </cell>
        </row>
        <row r="203">
          <cell r="E203" t="str">
            <v>WA residual life (final legal maturity)</v>
          </cell>
          <cell r="K203">
            <v>5</v>
          </cell>
          <cell r="N203" t="str">
            <v>WAL - Durchschnittlich gewichtete Restlaufzeit der Primärdeckung (in Jahren vertraglich)</v>
          </cell>
          <cell r="T203">
            <v>16</v>
          </cell>
        </row>
        <row r="204">
          <cell r="AB204">
            <v>237</v>
          </cell>
        </row>
        <row r="205">
          <cell r="E205" t="str">
            <v>Distribution by tenor (final legal maturity)</v>
          </cell>
          <cell r="N205" t="str">
            <v>Laufzeitenverteilung (in Monaten vertraglich)</v>
          </cell>
          <cell r="AB205">
            <v>238</v>
          </cell>
        </row>
        <row r="206">
          <cell r="E206" t="str">
            <v>Primary cover pool</v>
          </cell>
          <cell r="F206" t="str">
            <v>volume</v>
          </cell>
          <cell r="G206" t="str">
            <v>%</v>
          </cell>
          <cell r="I206" t="str">
            <v>Issues</v>
          </cell>
          <cell r="J206" t="str">
            <v>volume</v>
          </cell>
          <cell r="K206" t="str">
            <v>%</v>
          </cell>
          <cell r="N206" t="str">
            <v>Primärdeckung</v>
          </cell>
          <cell r="O206" t="str">
            <v>Volumen</v>
          </cell>
          <cell r="P206" t="str">
            <v>%</v>
          </cell>
          <cell r="R206" t="str">
            <v>Emissionen</v>
          </cell>
          <cell r="S206" t="str">
            <v>Volumen</v>
          </cell>
          <cell r="T206" t="str">
            <v>%</v>
          </cell>
        </row>
        <row r="207">
          <cell r="E207" t="str">
            <v>≤ 12 months</v>
          </cell>
          <cell r="F207">
            <v>20000000</v>
          </cell>
          <cell r="G207" t="e">
            <v>#DIV/0!</v>
          </cell>
          <cell r="I207" t="str">
            <v>≤ 12 months</v>
          </cell>
          <cell r="J207">
            <v>20000000</v>
          </cell>
          <cell r="K207">
            <v>0</v>
          </cell>
          <cell r="N207" t="str">
            <v>≤ 12 Monate</v>
          </cell>
          <cell r="O207">
            <v>999999999</v>
          </cell>
          <cell r="P207">
            <v>0</v>
          </cell>
          <cell r="R207" t="str">
            <v>≤ 12 Monate</v>
          </cell>
          <cell r="S207">
            <v>999999999</v>
          </cell>
          <cell r="T207">
            <v>0</v>
          </cell>
          <cell r="AB207">
            <v>240</v>
          </cell>
          <cell r="AD207">
            <v>240</v>
          </cell>
        </row>
        <row r="208">
          <cell r="E208" t="str">
            <v>12 - 36 months</v>
          </cell>
          <cell r="F208">
            <v>80000000</v>
          </cell>
          <cell r="G208">
            <v>0</v>
          </cell>
          <cell r="I208" t="str">
            <v>12 - 36 months</v>
          </cell>
          <cell r="J208">
            <v>80000000</v>
          </cell>
          <cell r="K208">
            <v>0</v>
          </cell>
          <cell r="N208" t="str">
            <v>12 - 36 Monate</v>
          </cell>
          <cell r="O208">
            <v>2000000000</v>
          </cell>
          <cell r="P208">
            <v>0</v>
          </cell>
          <cell r="R208" t="str">
            <v>12 - 36 Monate</v>
          </cell>
          <cell r="S208">
            <v>1000000000</v>
          </cell>
          <cell r="T208">
            <v>0</v>
          </cell>
          <cell r="AB208">
            <v>241</v>
          </cell>
        </row>
        <row r="209">
          <cell r="E209" t="str">
            <v>36 - 60 months</v>
          </cell>
          <cell r="F209">
            <v>20000000</v>
          </cell>
          <cell r="G209">
            <v>0</v>
          </cell>
          <cell r="I209" t="str">
            <v>36 - 60 months</v>
          </cell>
          <cell r="J209">
            <v>20000000</v>
          </cell>
          <cell r="K209">
            <v>0</v>
          </cell>
          <cell r="N209" t="str">
            <v>36 - 60 Monate</v>
          </cell>
          <cell r="O209">
            <v>3000000000</v>
          </cell>
          <cell r="P209">
            <v>0</v>
          </cell>
          <cell r="R209" t="str">
            <v>36 - 60 Monate</v>
          </cell>
          <cell r="S209">
            <v>5000000000</v>
          </cell>
          <cell r="T209">
            <v>0</v>
          </cell>
          <cell r="AB209">
            <v>242</v>
          </cell>
        </row>
        <row r="210">
          <cell r="E210" t="str">
            <v>60 - 120 months</v>
          </cell>
          <cell r="F210">
            <v>20000000</v>
          </cell>
          <cell r="G210">
            <v>0</v>
          </cell>
          <cell r="I210" t="str">
            <v>60 - 120 months</v>
          </cell>
          <cell r="J210">
            <v>20000000</v>
          </cell>
          <cell r="K210">
            <v>0</v>
          </cell>
          <cell r="N210" t="str">
            <v>60 - 120 Monate</v>
          </cell>
          <cell r="O210">
            <v>999999999</v>
          </cell>
          <cell r="P210">
            <v>0</v>
          </cell>
          <cell r="R210" t="str">
            <v>60 - 120 Monate</v>
          </cell>
          <cell r="S210">
            <v>999999999</v>
          </cell>
          <cell r="T210">
            <v>0</v>
          </cell>
          <cell r="AB210">
            <v>243</v>
          </cell>
        </row>
        <row r="211">
          <cell r="E211" t="str">
            <v>≥ 120 months</v>
          </cell>
          <cell r="F211">
            <v>20000000</v>
          </cell>
          <cell r="G211">
            <v>0</v>
          </cell>
          <cell r="I211" t="str">
            <v>≥ 120 months</v>
          </cell>
          <cell r="J211">
            <v>20000000</v>
          </cell>
          <cell r="K211">
            <v>0</v>
          </cell>
          <cell r="N211" t="str">
            <v>≥ 120 Monate</v>
          </cell>
          <cell r="O211">
            <v>999999999</v>
          </cell>
          <cell r="P211">
            <v>0</v>
          </cell>
          <cell r="R211" t="str">
            <v>≥ 120 Monate</v>
          </cell>
          <cell r="S211">
            <v>999999999</v>
          </cell>
          <cell r="T211">
            <v>0</v>
          </cell>
          <cell r="AB211">
            <v>244</v>
          </cell>
        </row>
        <row r="212">
          <cell r="E212" t="str">
            <v>Total</v>
          </cell>
          <cell r="F212">
            <v>160000000</v>
          </cell>
          <cell r="G212" t="e">
            <v>#DIV/0!</v>
          </cell>
          <cell r="I212" t="str">
            <v>Total</v>
          </cell>
          <cell r="J212">
            <v>160000000</v>
          </cell>
          <cell r="K212">
            <v>0</v>
          </cell>
          <cell r="N212" t="str">
            <v>Summe</v>
          </cell>
          <cell r="O212">
            <v>7999999997</v>
          </cell>
          <cell r="P212">
            <v>0</v>
          </cell>
          <cell r="R212" t="str">
            <v>Summe</v>
          </cell>
          <cell r="S212">
            <v>8999999997</v>
          </cell>
          <cell r="T212">
            <v>0</v>
          </cell>
          <cell r="AB212">
            <v>245</v>
          </cell>
        </row>
        <row r="214">
          <cell r="AB214">
            <v>247</v>
          </cell>
          <cell r="AC214">
            <v>247</v>
          </cell>
          <cell r="AD214">
            <v>247</v>
          </cell>
        </row>
        <row r="215">
          <cell r="AB215">
            <v>248</v>
          </cell>
        </row>
        <row r="216">
          <cell r="AB216">
            <v>249</v>
          </cell>
        </row>
        <row r="217">
          <cell r="AB217">
            <v>250</v>
          </cell>
        </row>
        <row r="218">
          <cell r="AB218">
            <v>251</v>
          </cell>
        </row>
        <row r="220">
          <cell r="AB220">
            <v>253</v>
          </cell>
          <cell r="AC220">
            <v>253</v>
          </cell>
          <cell r="AD220">
            <v>253</v>
          </cell>
        </row>
        <row r="221">
          <cell r="AB221">
            <v>254</v>
          </cell>
        </row>
        <row r="222">
          <cell r="AB222">
            <v>255</v>
          </cell>
        </row>
        <row r="223">
          <cell r="AB223">
            <v>256</v>
          </cell>
        </row>
        <row r="224">
          <cell r="AB224">
            <v>257</v>
          </cell>
        </row>
        <row r="225">
          <cell r="AB225">
            <v>258</v>
          </cell>
        </row>
        <row r="226">
          <cell r="AB226">
            <v>259</v>
          </cell>
        </row>
        <row r="227">
          <cell r="D227" t="str">
            <v>2.8</v>
          </cell>
          <cell r="E227" t="str">
            <v>Distribution by type of interest after cover pool IR derivatives</v>
          </cell>
          <cell r="M227" t="str">
            <v>2.8</v>
          </cell>
          <cell r="N227" t="str">
            <v>Verteilung Zinsbindung nach Zinsderivaten</v>
          </cell>
        </row>
        <row r="228">
          <cell r="AB228">
            <v>261</v>
          </cell>
          <cell r="AC228">
            <v>261</v>
          </cell>
          <cell r="AD228">
            <v>261</v>
          </cell>
        </row>
        <row r="229">
          <cell r="E229" t="str">
            <v>IR derivatives</v>
          </cell>
          <cell r="G229" t="str">
            <v>volume</v>
          </cell>
          <cell r="N229" t="str">
            <v>Zinsderivate</v>
          </cell>
          <cell r="P229" t="str">
            <v>Volumen</v>
          </cell>
          <cell r="AB229">
            <v>262</v>
          </cell>
        </row>
        <row r="230">
          <cell r="E230" t="str">
            <v>IR derivatives in cover pool</v>
          </cell>
          <cell r="G230" t="str">
            <v>yes/no</v>
          </cell>
          <cell r="N230" t="str">
            <v>Zinsderivate in Deckungsstock</v>
          </cell>
          <cell r="P230" t="str">
            <v>Ja</v>
          </cell>
          <cell r="AB230">
            <v>263</v>
          </cell>
        </row>
        <row r="231">
          <cell r="AB231">
            <v>264</v>
          </cell>
        </row>
        <row r="232">
          <cell r="E232" t="str">
            <v>Primary cover pool</v>
          </cell>
          <cell r="G232" t="str">
            <v>volume</v>
          </cell>
          <cell r="I232" t="str">
            <v>Issues</v>
          </cell>
          <cell r="K232" t="str">
            <v>volume</v>
          </cell>
          <cell r="N232" t="str">
            <v>Primärdeckung</v>
          </cell>
          <cell r="P232" t="str">
            <v>Volumen</v>
          </cell>
          <cell r="R232" t="str">
            <v>Emissionen</v>
          </cell>
          <cell r="T232" t="str">
            <v>Volumen</v>
          </cell>
          <cell r="AB232">
            <v>265</v>
          </cell>
        </row>
        <row r="233">
          <cell r="E233" t="str">
            <v>Variable, fixed rate during the year</v>
          </cell>
          <cell r="G233">
            <v>50000000</v>
          </cell>
          <cell r="I233" t="str">
            <v>Variable, fixed rate during the year</v>
          </cell>
          <cell r="K233">
            <v>50000000</v>
          </cell>
          <cell r="N233" t="str">
            <v>Variabel, fix unterjährig</v>
          </cell>
          <cell r="P233">
            <v>8000000000</v>
          </cell>
          <cell r="R233" t="str">
            <v>Variabel, fix unterjährig</v>
          </cell>
          <cell r="T233">
            <v>8000000000</v>
          </cell>
          <cell r="AB233">
            <v>266</v>
          </cell>
        </row>
        <row r="234">
          <cell r="E234" t="str">
            <v>Fixed rate, 1 - 2 years</v>
          </cell>
          <cell r="G234">
            <v>50000000</v>
          </cell>
          <cell r="I234" t="str">
            <v>Fixed rate, 1 - 2 years</v>
          </cell>
          <cell r="K234">
            <v>50000000</v>
          </cell>
          <cell r="N234" t="str">
            <v>Fix, 1 - 2 Jahren</v>
          </cell>
          <cell r="P234">
            <v>8000000000</v>
          </cell>
          <cell r="R234" t="str">
            <v>Fix, 1 - 2 Jahren</v>
          </cell>
          <cell r="T234">
            <v>8000000000</v>
          </cell>
          <cell r="AB234">
            <v>267</v>
          </cell>
        </row>
        <row r="235">
          <cell r="E235" t="str">
            <v>Fixed rate, 2 - 5 years</v>
          </cell>
          <cell r="G235">
            <v>50000000</v>
          </cell>
          <cell r="I235" t="str">
            <v>Fixed rate, 2 - 5 years</v>
          </cell>
          <cell r="K235">
            <v>50000000</v>
          </cell>
          <cell r="N235" t="str">
            <v>Fix, 2 - 5 Jahren</v>
          </cell>
          <cell r="P235">
            <v>10000000000</v>
          </cell>
          <cell r="R235" t="str">
            <v>Fix, 2 - 5 Jahren</v>
          </cell>
          <cell r="T235">
            <v>10000000000</v>
          </cell>
          <cell r="AB235">
            <v>268</v>
          </cell>
        </row>
        <row r="236">
          <cell r="E236" t="str">
            <v>Fixed rate, &gt; 5 years</v>
          </cell>
          <cell r="G236">
            <v>50000000</v>
          </cell>
          <cell r="I236" t="str">
            <v>Fixed rate, &gt; 5 years</v>
          </cell>
          <cell r="K236">
            <v>50000000</v>
          </cell>
          <cell r="N236" t="str">
            <v>Fix,  &gt; 5 Jahren</v>
          </cell>
          <cell r="P236">
            <v>1200000000</v>
          </cell>
          <cell r="R236" t="str">
            <v>Fix, &gt; 5 Jahren</v>
          </cell>
          <cell r="T236">
            <v>1200000000</v>
          </cell>
          <cell r="AB236">
            <v>269</v>
          </cell>
        </row>
        <row r="237">
          <cell r="E237" t="str">
            <v>Total</v>
          </cell>
          <cell r="G237">
            <v>200000000</v>
          </cell>
          <cell r="I237" t="str">
            <v>Total</v>
          </cell>
          <cell r="K237">
            <v>200000000</v>
          </cell>
          <cell r="N237" t="str">
            <v>Summe</v>
          </cell>
          <cell r="P237">
            <v>27200000000</v>
          </cell>
          <cell r="R237" t="str">
            <v>Summe</v>
          </cell>
          <cell r="T237">
            <v>27200000000</v>
          </cell>
          <cell r="AB237">
            <v>270</v>
          </cell>
        </row>
        <row r="238">
          <cell r="E238" t="str">
            <v>3.</v>
          </cell>
          <cell r="F238" t="str">
            <v>INFORMATION ON ADDITIONAL COVER POOL</v>
          </cell>
          <cell r="M238" t="str">
            <v>3.</v>
          </cell>
          <cell r="N238" t="str">
            <v>INFORMATIONEN ZUR ERSATZDECKUNG</v>
          </cell>
          <cell r="AB238">
            <v>271</v>
          </cell>
        </row>
        <row r="239">
          <cell r="F239" t="str">
            <v>display unit in mn - except "number"</v>
          </cell>
          <cell r="N239" t="str">
            <v>Anzeigeeinheit in Mio. EUR - ausgenommen "Anzahl"</v>
          </cell>
          <cell r="AB239">
            <v>272</v>
          </cell>
        </row>
        <row r="240">
          <cell r="AB240">
            <v>273</v>
          </cell>
        </row>
        <row r="241">
          <cell r="F241" t="str">
            <v>Overview</v>
          </cell>
          <cell r="H241" t="str">
            <v>volume</v>
          </cell>
          <cell r="N241" t="str">
            <v>Ersatzdeckung Überblick</v>
          </cell>
          <cell r="P241" t="str">
            <v>Volumen</v>
          </cell>
          <cell r="AB241">
            <v>274</v>
          </cell>
        </row>
        <row r="242">
          <cell r="F242" t="str">
            <v>Cash, deposits</v>
          </cell>
          <cell r="H242">
            <v>500000000</v>
          </cell>
          <cell r="N242" t="str">
            <v>Geld, Einlagen</v>
          </cell>
          <cell r="P242">
            <v>500000000</v>
          </cell>
          <cell r="AB242">
            <v>275</v>
          </cell>
        </row>
        <row r="243">
          <cell r="F243" t="str">
            <v>Bonds</v>
          </cell>
          <cell r="H243">
            <v>500000000</v>
          </cell>
          <cell r="N243" t="str">
            <v>Wertpapiere des Anlagevermögens</v>
          </cell>
          <cell r="P243">
            <v>500000000</v>
          </cell>
          <cell r="AB243">
            <v>276</v>
          </cell>
        </row>
        <row r="244">
          <cell r="F244" t="str">
            <v xml:space="preserve">    thereof National Bank eligible</v>
          </cell>
          <cell r="H244">
            <v>250000000</v>
          </cell>
          <cell r="N244" t="str">
            <v xml:space="preserve">    davon Nationalbank fähig</v>
          </cell>
          <cell r="P244">
            <v>250000000</v>
          </cell>
          <cell r="AB244">
            <v>277</v>
          </cell>
        </row>
        <row r="245">
          <cell r="F245" t="str">
            <v>Total</v>
          </cell>
          <cell r="H245">
            <v>1000000000</v>
          </cell>
          <cell r="N245" t="str">
            <v>Summe</v>
          </cell>
          <cell r="P245">
            <v>1000000000</v>
          </cell>
          <cell r="AB245">
            <v>278</v>
          </cell>
        </row>
        <row r="246">
          <cell r="F246" t="str">
            <v>Additional cover pool (in % of total issues)</v>
          </cell>
          <cell r="H246" t="e">
            <v>#DIV/0!</v>
          </cell>
          <cell r="N246" t="str">
            <v>Ersatzdeckung (% von Emissionen)</v>
          </cell>
          <cell r="P246" t="e">
            <v>#DIV/0!</v>
          </cell>
          <cell r="AB246">
            <v>279</v>
          </cell>
        </row>
        <row r="247">
          <cell r="AB247">
            <v>280</v>
          </cell>
        </row>
        <row r="248">
          <cell r="F248" t="str">
            <v>Bonds by volume</v>
          </cell>
          <cell r="G248" t="str">
            <v>volume</v>
          </cell>
          <cell r="H248" t="str">
            <v>number</v>
          </cell>
          <cell r="N248" t="str">
            <v>Wertpapiere nach Volumen</v>
          </cell>
          <cell r="O248" t="str">
            <v>Volumen</v>
          </cell>
          <cell r="P248" t="str">
            <v>Anzahl</v>
          </cell>
          <cell r="AB248">
            <v>281</v>
          </cell>
        </row>
        <row r="249">
          <cell r="F249" t="str">
            <v>≤  1.000.000</v>
          </cell>
          <cell r="G249">
            <v>100000000</v>
          </cell>
          <cell r="H249">
            <v>10</v>
          </cell>
          <cell r="N249" t="str">
            <v>≤  1.000.000</v>
          </cell>
          <cell r="O249">
            <v>100000000</v>
          </cell>
          <cell r="P249">
            <v>10</v>
          </cell>
          <cell r="AB249">
            <v>282</v>
          </cell>
        </row>
        <row r="250">
          <cell r="F250" t="str">
            <v>1.000.000 - 5.000.000</v>
          </cell>
          <cell r="G250">
            <v>200000000</v>
          </cell>
          <cell r="H250">
            <v>20</v>
          </cell>
          <cell r="N250" t="str">
            <v>1.000.000 - 5.000.000</v>
          </cell>
          <cell r="O250">
            <v>200000000</v>
          </cell>
          <cell r="P250">
            <v>20</v>
          </cell>
          <cell r="AB250">
            <v>283</v>
          </cell>
        </row>
        <row r="251">
          <cell r="F251" t="str">
            <v>≥ 5.000.000</v>
          </cell>
          <cell r="G251">
            <v>200000000</v>
          </cell>
          <cell r="H251">
            <v>20</v>
          </cell>
          <cell r="N251" t="str">
            <v>≥ 5.000.000</v>
          </cell>
          <cell r="O251">
            <v>200000000</v>
          </cell>
          <cell r="P251">
            <v>20</v>
          </cell>
          <cell r="AB251">
            <v>284</v>
          </cell>
        </row>
        <row r="252">
          <cell r="F252" t="str">
            <v>Total</v>
          </cell>
          <cell r="G252">
            <v>500000000</v>
          </cell>
          <cell r="H252">
            <v>50</v>
          </cell>
          <cell r="N252" t="str">
            <v>Summe</v>
          </cell>
          <cell r="O252">
            <v>500000000</v>
          </cell>
          <cell r="P252">
            <v>50</v>
          </cell>
          <cell r="AB252">
            <v>285</v>
          </cell>
        </row>
        <row r="253">
          <cell r="AB253">
            <v>286</v>
          </cell>
        </row>
        <row r="254">
          <cell r="F254" t="str">
            <v>Additional cover pool by currencies</v>
          </cell>
          <cell r="G254" t="str">
            <v>volume</v>
          </cell>
          <cell r="H254" t="str">
            <v>%</v>
          </cell>
          <cell r="N254" t="str">
            <v>Ersatzdeckung nach Währung</v>
          </cell>
          <cell r="O254" t="str">
            <v>Volumen</v>
          </cell>
          <cell r="P254" t="str">
            <v>%</v>
          </cell>
          <cell r="AB254">
            <v>287</v>
          </cell>
        </row>
        <row r="255">
          <cell r="F255" t="str">
            <v>EUR</v>
          </cell>
          <cell r="G255">
            <v>200000000</v>
          </cell>
          <cell r="H255">
            <v>0</v>
          </cell>
          <cell r="N255" t="str">
            <v>EUR</v>
          </cell>
          <cell r="O255">
            <v>200000000</v>
          </cell>
          <cell r="P255">
            <v>0</v>
          </cell>
          <cell r="AB255">
            <v>288</v>
          </cell>
        </row>
        <row r="256">
          <cell r="F256" t="str">
            <v>CHF</v>
          </cell>
          <cell r="G256">
            <v>200000000</v>
          </cell>
          <cell r="H256">
            <v>0</v>
          </cell>
          <cell r="N256" t="str">
            <v>CHF</v>
          </cell>
          <cell r="O256">
            <v>200000000</v>
          </cell>
          <cell r="P256">
            <v>0</v>
          </cell>
          <cell r="AB256">
            <v>289</v>
          </cell>
        </row>
        <row r="257">
          <cell r="F257" t="str">
            <v>USD</v>
          </cell>
          <cell r="G257">
            <v>100000000</v>
          </cell>
          <cell r="H257">
            <v>0</v>
          </cell>
          <cell r="N257" t="str">
            <v>USD</v>
          </cell>
          <cell r="O257">
            <v>200000000</v>
          </cell>
          <cell r="P257">
            <v>0</v>
          </cell>
          <cell r="AB257">
            <v>290</v>
          </cell>
        </row>
        <row r="258">
          <cell r="F258" t="str">
            <v>JPY</v>
          </cell>
          <cell r="G258">
            <v>100000000</v>
          </cell>
          <cell r="H258">
            <v>0</v>
          </cell>
          <cell r="N258" t="str">
            <v>JPY</v>
          </cell>
          <cell r="O258">
            <v>200000000</v>
          </cell>
          <cell r="P258">
            <v>0</v>
          </cell>
          <cell r="AB258">
            <v>291</v>
          </cell>
        </row>
        <row r="259">
          <cell r="F259" t="str">
            <v>Other currencies</v>
          </cell>
          <cell r="G259">
            <v>100000000</v>
          </cell>
          <cell r="H259">
            <v>0</v>
          </cell>
          <cell r="N259" t="str">
            <v>Sonstige Währungen</v>
          </cell>
          <cell r="O259">
            <v>200000000</v>
          </cell>
          <cell r="P259">
            <v>0</v>
          </cell>
        </row>
        <row r="260">
          <cell r="F260" t="str">
            <v>Total</v>
          </cell>
          <cell r="G260">
            <v>700000000</v>
          </cell>
          <cell r="H260">
            <v>0</v>
          </cell>
          <cell r="N260" t="str">
            <v>Summe</v>
          </cell>
          <cell r="O260">
            <v>1000000000</v>
          </cell>
          <cell r="P260">
            <v>0</v>
          </cell>
          <cell r="AB260">
            <v>293</v>
          </cell>
        </row>
        <row r="261">
          <cell r="AB261">
            <v>294</v>
          </cell>
        </row>
        <row r="262">
          <cell r="F262" t="str">
            <v>Regional distribution of additional cover pool</v>
          </cell>
          <cell r="G262" t="str">
            <v>Volumen</v>
          </cell>
          <cell r="H262" t="str">
            <v>%</v>
          </cell>
          <cell r="N262" t="str">
            <v>Verteilung nach Ländern</v>
          </cell>
          <cell r="O262" t="str">
            <v>Volumen</v>
          </cell>
          <cell r="P262" t="str">
            <v>%</v>
          </cell>
          <cell r="AB262">
            <v>295</v>
          </cell>
        </row>
        <row r="263">
          <cell r="F263" t="str">
            <v>EU member states</v>
          </cell>
          <cell r="G263">
            <v>560000000</v>
          </cell>
          <cell r="H263">
            <v>0</v>
          </cell>
          <cell r="N263" t="str">
            <v>EU Staaten</v>
          </cell>
          <cell r="O263">
            <v>1500000000</v>
          </cell>
          <cell r="P263">
            <v>0</v>
          </cell>
          <cell r="AB263">
            <v>296</v>
          </cell>
        </row>
        <row r="264">
          <cell r="F264" t="str">
            <v>Austria</v>
          </cell>
          <cell r="G264">
            <v>20000000</v>
          </cell>
          <cell r="H264">
            <v>0</v>
          </cell>
          <cell r="N264" t="str">
            <v>Belgien</v>
          </cell>
          <cell r="O264">
            <v>300000000</v>
          </cell>
          <cell r="P264">
            <v>0</v>
          </cell>
          <cell r="AB264">
            <v>297</v>
          </cell>
        </row>
        <row r="265">
          <cell r="F265" t="str">
            <v>Belgium</v>
          </cell>
          <cell r="G265">
            <v>20000000</v>
          </cell>
          <cell r="H265">
            <v>0</v>
          </cell>
          <cell r="N265" t="str">
            <v>Bulgarien</v>
          </cell>
          <cell r="O265">
            <v>100000000</v>
          </cell>
          <cell r="P265">
            <v>0</v>
          </cell>
        </row>
        <row r="266">
          <cell r="F266" t="str">
            <v>Bulgaria</v>
          </cell>
          <cell r="G266">
            <v>20000000</v>
          </cell>
          <cell r="H266">
            <v>0</v>
          </cell>
          <cell r="N266" t="str">
            <v>Dänemark</v>
          </cell>
          <cell r="O266">
            <v>100000000</v>
          </cell>
          <cell r="P266">
            <v>0</v>
          </cell>
        </row>
        <row r="267">
          <cell r="F267" t="str">
            <v>Croatia</v>
          </cell>
          <cell r="G267">
            <v>20000000</v>
          </cell>
          <cell r="H267">
            <v>0</v>
          </cell>
          <cell r="N267" t="str">
            <v>Deutschland</v>
          </cell>
          <cell r="O267">
            <v>1000000000</v>
          </cell>
          <cell r="P267">
            <v>0</v>
          </cell>
        </row>
        <row r="268">
          <cell r="F268" t="str">
            <v>Cyprus</v>
          </cell>
          <cell r="G268">
            <v>20000000</v>
          </cell>
          <cell r="H268">
            <v>0</v>
          </cell>
          <cell r="N268" t="str">
            <v>Estland</v>
          </cell>
          <cell r="O268">
            <v>0</v>
          </cell>
          <cell r="P268">
            <v>0</v>
          </cell>
        </row>
        <row r="269">
          <cell r="F269" t="str">
            <v>Czech Republic</v>
          </cell>
          <cell r="G269">
            <v>20000000</v>
          </cell>
          <cell r="H269">
            <v>0</v>
          </cell>
          <cell r="N269" t="str">
            <v>Finnland</v>
          </cell>
          <cell r="O269">
            <v>0</v>
          </cell>
          <cell r="P269">
            <v>0</v>
          </cell>
        </row>
        <row r="270">
          <cell r="F270" t="str">
            <v>Denmark</v>
          </cell>
          <cell r="G270">
            <v>20000000</v>
          </cell>
          <cell r="H270">
            <v>0</v>
          </cell>
          <cell r="N270" t="str">
            <v>Frankreich</v>
          </cell>
          <cell r="O270">
            <v>0</v>
          </cell>
          <cell r="P270">
            <v>0</v>
          </cell>
        </row>
        <row r="271">
          <cell r="F271" t="str">
            <v>Estonia</v>
          </cell>
          <cell r="G271">
            <v>20000000</v>
          </cell>
          <cell r="H271">
            <v>0</v>
          </cell>
          <cell r="N271" t="str">
            <v>Griechenland</v>
          </cell>
          <cell r="O271">
            <v>0</v>
          </cell>
          <cell r="P271">
            <v>0</v>
          </cell>
        </row>
        <row r="272">
          <cell r="F272" t="str">
            <v>Finnland</v>
          </cell>
          <cell r="G272">
            <v>20000000</v>
          </cell>
          <cell r="H272">
            <v>0</v>
          </cell>
          <cell r="N272" t="str">
            <v>Irland</v>
          </cell>
          <cell r="O272">
            <v>0</v>
          </cell>
          <cell r="P272">
            <v>0</v>
          </cell>
        </row>
        <row r="273">
          <cell r="F273" t="str">
            <v>France</v>
          </cell>
          <cell r="G273">
            <v>20000000</v>
          </cell>
          <cell r="H273">
            <v>0</v>
          </cell>
          <cell r="N273" t="str">
            <v>Italien</v>
          </cell>
          <cell r="O273">
            <v>0</v>
          </cell>
          <cell r="P273">
            <v>0</v>
          </cell>
        </row>
        <row r="274">
          <cell r="F274" t="str">
            <v>Germany</v>
          </cell>
          <cell r="G274">
            <v>20000000</v>
          </cell>
          <cell r="H274">
            <v>0</v>
          </cell>
          <cell r="N274" t="str">
            <v>Kroatien</v>
          </cell>
          <cell r="O274">
            <v>0</v>
          </cell>
          <cell r="P274">
            <v>0</v>
          </cell>
        </row>
        <row r="275">
          <cell r="F275" t="str">
            <v>Greece</v>
          </cell>
          <cell r="G275">
            <v>20000000</v>
          </cell>
          <cell r="H275">
            <v>0</v>
          </cell>
          <cell r="N275" t="str">
            <v>Lettland</v>
          </cell>
          <cell r="O275">
            <v>0</v>
          </cell>
          <cell r="P275">
            <v>0</v>
          </cell>
        </row>
        <row r="276">
          <cell r="F276" t="str">
            <v>Hungary</v>
          </cell>
          <cell r="G276">
            <v>20000000</v>
          </cell>
          <cell r="H276">
            <v>0</v>
          </cell>
          <cell r="N276" t="str">
            <v>Litauen</v>
          </cell>
          <cell r="O276">
            <v>0</v>
          </cell>
          <cell r="P276">
            <v>0</v>
          </cell>
        </row>
        <row r="277">
          <cell r="F277" t="str">
            <v>Irland</v>
          </cell>
          <cell r="G277">
            <v>20000000</v>
          </cell>
          <cell r="H277">
            <v>0</v>
          </cell>
          <cell r="N277" t="str">
            <v>Luxemburg</v>
          </cell>
          <cell r="O277">
            <v>0</v>
          </cell>
          <cell r="P277">
            <v>0</v>
          </cell>
        </row>
        <row r="278">
          <cell r="F278" t="str">
            <v>Italy</v>
          </cell>
          <cell r="G278">
            <v>20000000</v>
          </cell>
          <cell r="H278">
            <v>0</v>
          </cell>
          <cell r="N278" t="str">
            <v>Malta</v>
          </cell>
          <cell r="O278">
            <v>0</v>
          </cell>
          <cell r="P278">
            <v>0</v>
          </cell>
        </row>
        <row r="279">
          <cell r="F279" t="str">
            <v>Latvia</v>
          </cell>
          <cell r="G279">
            <v>20000000</v>
          </cell>
          <cell r="H279">
            <v>0</v>
          </cell>
          <cell r="N279" t="str">
            <v>Niederlande</v>
          </cell>
          <cell r="O279">
            <v>0</v>
          </cell>
          <cell r="P279">
            <v>0</v>
          </cell>
        </row>
        <row r="280">
          <cell r="F280" t="str">
            <v>Lituania</v>
          </cell>
          <cell r="G280">
            <v>20000000</v>
          </cell>
          <cell r="H280">
            <v>0</v>
          </cell>
          <cell r="N280" t="str">
            <v>Österreich</v>
          </cell>
          <cell r="O280">
            <v>0</v>
          </cell>
          <cell r="P280">
            <v>0</v>
          </cell>
        </row>
        <row r="281">
          <cell r="F281" t="str">
            <v>Luxembourg</v>
          </cell>
          <cell r="G281">
            <v>20000000</v>
          </cell>
          <cell r="H281">
            <v>0</v>
          </cell>
          <cell r="N281" t="str">
            <v>Polen</v>
          </cell>
          <cell r="O281">
            <v>0</v>
          </cell>
          <cell r="P281">
            <v>0</v>
          </cell>
        </row>
        <row r="282">
          <cell r="F282" t="str">
            <v>Malta</v>
          </cell>
          <cell r="G282">
            <v>20000000</v>
          </cell>
          <cell r="H282">
            <v>0</v>
          </cell>
          <cell r="N282" t="str">
            <v>Portugal</v>
          </cell>
          <cell r="O282">
            <v>0</v>
          </cell>
          <cell r="P282">
            <v>0</v>
          </cell>
        </row>
        <row r="283">
          <cell r="F283" t="str">
            <v>Poland</v>
          </cell>
          <cell r="G283">
            <v>20000000</v>
          </cell>
          <cell r="H283">
            <v>0</v>
          </cell>
          <cell r="N283" t="str">
            <v>Rumänien</v>
          </cell>
          <cell r="O283">
            <v>0</v>
          </cell>
          <cell r="P283">
            <v>0</v>
          </cell>
        </row>
        <row r="284">
          <cell r="F284" t="str">
            <v>Portugal</v>
          </cell>
          <cell r="G284">
            <v>20000000</v>
          </cell>
          <cell r="H284">
            <v>0</v>
          </cell>
          <cell r="N284" t="str">
            <v>Schweden</v>
          </cell>
          <cell r="O284">
            <v>0</v>
          </cell>
          <cell r="P284">
            <v>0</v>
          </cell>
        </row>
        <row r="285">
          <cell r="F285" t="str">
            <v>Romania</v>
          </cell>
          <cell r="G285">
            <v>20000000</v>
          </cell>
          <cell r="H285">
            <v>0</v>
          </cell>
          <cell r="N285" t="str">
            <v>Slowakei</v>
          </cell>
          <cell r="O285">
            <v>0</v>
          </cell>
          <cell r="P285">
            <v>0</v>
          </cell>
        </row>
        <row r="286">
          <cell r="F286" t="str">
            <v>Slovakia</v>
          </cell>
          <cell r="G286">
            <v>20000000</v>
          </cell>
          <cell r="H286">
            <v>0</v>
          </cell>
          <cell r="N286" t="str">
            <v>Slowenien</v>
          </cell>
          <cell r="O286">
            <v>0</v>
          </cell>
          <cell r="P286">
            <v>0</v>
          </cell>
        </row>
        <row r="287">
          <cell r="F287" t="str">
            <v>Slovenia</v>
          </cell>
          <cell r="G287">
            <v>20000000</v>
          </cell>
          <cell r="H287">
            <v>0</v>
          </cell>
          <cell r="N287" t="str">
            <v>Spanien</v>
          </cell>
          <cell r="O287">
            <v>0</v>
          </cell>
          <cell r="P287">
            <v>0</v>
          </cell>
        </row>
        <row r="288">
          <cell r="F288" t="str">
            <v>Spain</v>
          </cell>
          <cell r="G288">
            <v>20000000</v>
          </cell>
          <cell r="H288">
            <v>0</v>
          </cell>
          <cell r="N288" t="str">
            <v>Tschechien</v>
          </cell>
          <cell r="O288">
            <v>0</v>
          </cell>
          <cell r="P288">
            <v>0</v>
          </cell>
        </row>
        <row r="289">
          <cell r="F289" t="str">
            <v>Sweden</v>
          </cell>
          <cell r="G289">
            <v>20000000</v>
          </cell>
          <cell r="H289">
            <v>0</v>
          </cell>
          <cell r="N289" t="str">
            <v>Ungarn</v>
          </cell>
          <cell r="O289">
            <v>0</v>
          </cell>
          <cell r="P289">
            <v>0</v>
          </cell>
        </row>
        <row r="290">
          <cell r="F290" t="str">
            <v>The Netherlands</v>
          </cell>
          <cell r="G290">
            <v>20000000</v>
          </cell>
          <cell r="H290">
            <v>0</v>
          </cell>
          <cell r="N290" t="str">
            <v>Vereinigtes Königreich</v>
          </cell>
          <cell r="O290">
            <v>0</v>
          </cell>
          <cell r="P290">
            <v>0</v>
          </cell>
        </row>
        <row r="291">
          <cell r="F291" t="str">
            <v>UK</v>
          </cell>
          <cell r="G291">
            <v>20000000</v>
          </cell>
          <cell r="H291">
            <v>0</v>
          </cell>
          <cell r="N291" t="str">
            <v>Zypern</v>
          </cell>
          <cell r="O291">
            <v>0</v>
          </cell>
          <cell r="P291">
            <v>0</v>
          </cell>
        </row>
        <row r="292">
          <cell r="F292" t="str">
            <v>EEA member states</v>
          </cell>
          <cell r="G292">
            <v>60000000</v>
          </cell>
          <cell r="H292">
            <v>0</v>
          </cell>
          <cell r="N292" t="str">
            <v>EWR Staaten</v>
          </cell>
          <cell r="O292">
            <v>0</v>
          </cell>
          <cell r="P292">
            <v>0</v>
          </cell>
        </row>
        <row r="293">
          <cell r="F293" t="str">
            <v>Island</v>
          </cell>
          <cell r="G293">
            <v>20000000</v>
          </cell>
          <cell r="H293">
            <v>0</v>
          </cell>
          <cell r="N293" t="str">
            <v>Island</v>
          </cell>
          <cell r="O293">
            <v>0</v>
          </cell>
          <cell r="P293">
            <v>0</v>
          </cell>
        </row>
        <row r="294">
          <cell r="F294" t="str">
            <v>Liechtenstein</v>
          </cell>
          <cell r="G294">
            <v>20000000</v>
          </cell>
          <cell r="H294">
            <v>0</v>
          </cell>
          <cell r="N294" t="str">
            <v>Liechtenstein</v>
          </cell>
          <cell r="O294">
            <v>0</v>
          </cell>
          <cell r="P294">
            <v>0</v>
          </cell>
        </row>
        <row r="295">
          <cell r="F295" t="str">
            <v>Norway</v>
          </cell>
          <cell r="G295">
            <v>20000000</v>
          </cell>
          <cell r="H295">
            <v>0</v>
          </cell>
          <cell r="N295" t="str">
            <v>Norwegen</v>
          </cell>
          <cell r="O295">
            <v>0</v>
          </cell>
          <cell r="P295">
            <v>0</v>
          </cell>
        </row>
        <row r="296">
          <cell r="F296" t="str">
            <v>other countries</v>
          </cell>
          <cell r="G296">
            <v>20000000</v>
          </cell>
          <cell r="H296">
            <v>0</v>
          </cell>
          <cell r="N296" t="str">
            <v>Sonstige Länder</v>
          </cell>
          <cell r="O296">
            <v>100000000</v>
          </cell>
          <cell r="P296">
            <v>0</v>
          </cell>
        </row>
        <row r="297">
          <cell r="F297" t="str">
            <v>Switzerland</v>
          </cell>
          <cell r="G297">
            <v>20000000</v>
          </cell>
          <cell r="H297">
            <v>0</v>
          </cell>
          <cell r="N297" t="str">
            <v>Schweiz</v>
          </cell>
          <cell r="O297">
            <v>100000000</v>
          </cell>
          <cell r="P297">
            <v>0</v>
          </cell>
        </row>
        <row r="298">
          <cell r="F298" t="str">
            <v>Total</v>
          </cell>
          <cell r="G298">
            <v>660000000</v>
          </cell>
          <cell r="H298">
            <v>0</v>
          </cell>
          <cell r="N298" t="str">
            <v>Summe</v>
          </cell>
          <cell r="O298">
            <v>1700000000</v>
          </cell>
          <cell r="P2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imärdeckung"/>
      <sheetName val="Ersatzdeckung"/>
      <sheetName val="Glossar"/>
    </sheetNames>
    <sheetDataSet>
      <sheetData sheetId="0" refreshError="1"/>
      <sheetData sheetId="1">
        <row r="14">
          <cell r="C14">
            <v>4363944450.3538666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zoomScaleNormal="100" workbookViewId="0">
      <selection activeCell="C21" sqref="C21"/>
    </sheetView>
  </sheetViews>
  <sheetFormatPr baseColWidth="10" defaultColWidth="9.140625" defaultRowHeight="15" x14ac:dyDescent="0.25"/>
  <cols>
    <col min="1" max="1" width="4.5703125" style="80" customWidth="1"/>
    <col min="2" max="2" width="78.7109375" style="80" bestFit="1" customWidth="1"/>
    <col min="3" max="3" width="12.5703125" style="80" customWidth="1"/>
    <col min="4" max="4" width="12" style="80" customWidth="1"/>
    <col min="5" max="5" width="12.5703125" style="80" customWidth="1"/>
    <col min="6" max="6" width="10.85546875" style="141" customWidth="1"/>
    <col min="7" max="16384" width="9.140625" style="80"/>
  </cols>
  <sheetData>
    <row r="1" spans="1:6" s="85" customFormat="1" ht="36" customHeight="1" thickBot="1" x14ac:dyDescent="0.3">
      <c r="A1" s="84" t="s">
        <v>208</v>
      </c>
      <c r="B1" s="157" t="s">
        <v>0</v>
      </c>
      <c r="C1" s="204" t="s">
        <v>315</v>
      </c>
      <c r="D1" s="204"/>
      <c r="E1" s="204"/>
      <c r="F1" s="161"/>
    </row>
    <row r="2" spans="1:6" x14ac:dyDescent="0.25">
      <c r="B2" s="80" t="str">
        <f>INDEX(Language!D2:M33,2,IF(A1="EN",1,6))</f>
        <v>Report Date</v>
      </c>
      <c r="D2" s="86">
        <v>43921</v>
      </c>
    </row>
    <row r="3" spans="1:6" x14ac:dyDescent="0.25">
      <c r="B3" s="80" t="str">
        <f>INDEX(Language!D2:M33,3,IF(A1="EN",1,6))</f>
        <v>Report Currency</v>
      </c>
      <c r="D3" s="87" t="s">
        <v>113</v>
      </c>
    </row>
    <row r="4" spans="1:6" x14ac:dyDescent="0.25">
      <c r="B4" s="88"/>
      <c r="D4" s="87"/>
    </row>
    <row r="6" spans="1:6" s="90" customFormat="1" ht="16.5" thickBot="1" x14ac:dyDescent="0.3">
      <c r="A6" s="89"/>
      <c r="B6" s="89" t="str">
        <f>INDEX(Language!D2:M33,6,IF(A1="EN",1,6))</f>
        <v>Public Pfandbrief or Public Covered Bond (fundierte Bankschuldverschreibung)</v>
      </c>
      <c r="C6" s="89"/>
      <c r="D6" s="89"/>
      <c r="E6" s="89"/>
      <c r="F6" s="142"/>
    </row>
    <row r="7" spans="1:6" ht="6.75" customHeight="1" x14ac:dyDescent="0.25"/>
    <row r="8" spans="1:6" ht="15.75" thickBot="1" x14ac:dyDescent="0.3">
      <c r="A8" s="91" t="s">
        <v>3</v>
      </c>
      <c r="B8" s="91" t="str">
        <f>INDEX(Language!D2:M33,8,IF(A1="EN",1,6))</f>
        <v>OVERVIEW</v>
      </c>
      <c r="C8" s="91"/>
      <c r="D8" s="91"/>
      <c r="E8" s="91"/>
    </row>
    <row r="9" spans="1:6" ht="7.5" customHeight="1" x14ac:dyDescent="0.25"/>
    <row r="10" spans="1:6" ht="15.75" customHeight="1" x14ac:dyDescent="0.25">
      <c r="B10" s="92" t="str">
        <f>INDEX(Language!D2:M33,10,IF(A1="EN",1,6))</f>
        <v>CRD/ UCITS compliant</v>
      </c>
      <c r="D10" s="93" t="s">
        <v>316</v>
      </c>
      <c r="F10" s="162"/>
    </row>
    <row r="11" spans="1:6" ht="15.75" customHeight="1" x14ac:dyDescent="0.25">
      <c r="B11" s="94" t="str">
        <f>INDEX(Language!D2:M33,11,IF(A1="EN",1,6))</f>
        <v>Share of ECB eligible cover assets (in % of total cover pool)</v>
      </c>
      <c r="C11" s="95"/>
      <c r="D11" s="96">
        <v>0.118897921316341</v>
      </c>
      <c r="E11" s="94"/>
      <c r="F11" s="163"/>
    </row>
    <row r="12" spans="1:6" ht="16.5" customHeight="1" x14ac:dyDescent="0.25">
      <c r="B12" s="94" t="str">
        <f>INDEX(Language!D2:M33,12,IF(A1="EN",1,6))</f>
        <v>Total amount of outstanding issues</v>
      </c>
      <c r="C12" s="95" t="str">
        <f>INDEX(Language!D2:M33,12,IF(A1="EN",2,7))</f>
        <v>in mn</v>
      </c>
      <c r="D12" s="99">
        <v>3736517147.8099999</v>
      </c>
      <c r="E12" s="94"/>
      <c r="F12" s="164"/>
    </row>
    <row r="13" spans="1:6" ht="16.5" customHeight="1" x14ac:dyDescent="0.25">
      <c r="B13" s="94" t="str">
        <f>INDEX(Language!D2:M33,13,IF(A1="EN",1,6))</f>
        <v xml:space="preserve">Total amount of cover assets </v>
      </c>
      <c r="C13" s="95" t="str">
        <f>INDEX(Language!D2:M33,13,IF(A1="EN",2,7))</f>
        <v>in mn</v>
      </c>
      <c r="D13" s="99">
        <v>4307229540.9391308</v>
      </c>
      <c r="E13" s="94"/>
      <c r="F13" s="164"/>
    </row>
    <row r="14" spans="1:6" ht="16.5" customHeight="1" x14ac:dyDescent="0.25">
      <c r="B14" s="94" t="str">
        <f>INDEX(Language!D2:M33,14,IF(A1="EN",1,6))</f>
        <v>Rating agencies</v>
      </c>
      <c r="C14" s="97" t="s">
        <v>7</v>
      </c>
      <c r="D14" s="97" t="s">
        <v>8</v>
      </c>
      <c r="E14" s="97" t="s">
        <v>9</v>
      </c>
      <c r="F14" s="145"/>
    </row>
    <row r="15" spans="1:6" ht="16.5" customHeight="1" x14ac:dyDescent="0.25">
      <c r="B15" s="94" t="str">
        <f>INDEX(Language!D2:M33,15,IF(A1="EN",1,6))</f>
        <v>Issuer rating</v>
      </c>
      <c r="C15" s="97" t="s">
        <v>317</v>
      </c>
      <c r="D15" s="97" t="s">
        <v>317</v>
      </c>
      <c r="E15" s="97" t="s">
        <v>119</v>
      </c>
      <c r="F15" s="145"/>
    </row>
    <row r="16" spans="1:6" ht="16.5" customHeight="1" x14ac:dyDescent="0.25">
      <c r="B16" s="94" t="str">
        <f>INDEX(Language!D2:M33,16,IF(A1="EN",1,6))</f>
        <v>Cover pool rating</v>
      </c>
      <c r="C16" s="97" t="s">
        <v>314</v>
      </c>
      <c r="D16" s="97" t="s">
        <v>317</v>
      </c>
      <c r="E16" s="97" t="s">
        <v>317</v>
      </c>
      <c r="F16" s="145"/>
    </row>
    <row r="17" spans="2:6" ht="16.5" customHeight="1" x14ac:dyDescent="0.25">
      <c r="B17" s="94" t="str">
        <f>INDEX(Language!D2:M33,17,IF(A1="EN",1,6))</f>
        <v>Number of loans</v>
      </c>
      <c r="C17" s="95"/>
      <c r="D17" s="98">
        <v>49504</v>
      </c>
      <c r="E17" s="94"/>
      <c r="F17" s="151"/>
    </row>
    <row r="18" spans="2:6" ht="16.5" customHeight="1" x14ac:dyDescent="0.25">
      <c r="B18" s="94" t="str">
        <f>INDEX(Language!D2:M33,18,IF(A1="EN",1,6))</f>
        <v>Number of borrowers</v>
      </c>
      <c r="C18" s="95"/>
      <c r="D18" s="98">
        <v>44254</v>
      </c>
      <c r="E18" s="94"/>
      <c r="F18" s="151"/>
    </row>
    <row r="19" spans="2:6" ht="16.5" customHeight="1" x14ac:dyDescent="0.25">
      <c r="B19" s="94" t="str">
        <f>INDEX(Language!D2:M33,19,IF(A1="EN",1,6))</f>
        <v>Number of garantors</v>
      </c>
      <c r="C19" s="95"/>
      <c r="D19" s="98">
        <v>103</v>
      </c>
      <c r="E19" s="94"/>
      <c r="F19" s="151"/>
    </row>
    <row r="20" spans="2:6" ht="16.5" customHeight="1" x14ac:dyDescent="0.25">
      <c r="B20" s="94" t="str">
        <f>INDEX(Language!D2:M33,20,IF(A1="EN",1,6))</f>
        <v>Average exposure per borrower</v>
      </c>
      <c r="C20" s="95" t="str">
        <f>INDEX(Language!D2:M33,20,IF(A1="EN",2,7))</f>
        <v>in mn</v>
      </c>
      <c r="D20" s="99">
        <v>97329.722532180836</v>
      </c>
      <c r="E20" s="94"/>
      <c r="F20" s="165"/>
    </row>
    <row r="21" spans="2:6" ht="16.5" customHeight="1" x14ac:dyDescent="0.25">
      <c r="B21" s="94" t="str">
        <f>INDEX(Language!D2:M33,21,IF(A1="EN",1,6))</f>
        <v>Average loan amount</v>
      </c>
      <c r="C21" s="95" t="str">
        <f>INDEX(Language!D2:M33,21,IF(A1="EN",2,7))</f>
        <v>in mn</v>
      </c>
      <c r="D21" s="99">
        <v>87007.707274950124</v>
      </c>
      <c r="E21" s="94"/>
      <c r="F21" s="165"/>
    </row>
    <row r="22" spans="2:6" ht="16.5" customHeight="1" x14ac:dyDescent="0.25">
      <c r="B22" s="94" t="str">
        <f>INDEX(Language!D2:M33,22,IF(A1="EN",1,6))</f>
        <v>Share of non-performing loans with at least 90 days past due (% of primary cover pool)</v>
      </c>
      <c r="C22" s="95"/>
      <c r="D22" s="96">
        <v>0</v>
      </c>
      <c r="E22" s="94"/>
      <c r="F22" s="163"/>
    </row>
    <row r="23" spans="2:6" ht="16.5" customHeight="1" x14ac:dyDescent="0.25">
      <c r="B23" s="94" t="str">
        <f>INDEX(Language!D2:M33,23,IF(A1="EN",1,6))</f>
        <v>Share of 10 largest loans (% of primary cover pool)</v>
      </c>
      <c r="C23" s="95"/>
      <c r="D23" s="96">
        <v>0.17503152538295447</v>
      </c>
      <c r="E23" s="94"/>
      <c r="F23" s="163"/>
    </row>
    <row r="24" spans="2:6" ht="16.5" customHeight="1" x14ac:dyDescent="0.25">
      <c r="B24" s="94" t="str">
        <f>INDEX(Language!D2:M33,24,IF(A1="EN",1,6))</f>
        <v>Share of 10 largest exposures by borrower/ garantor (% of primary cover pool)</v>
      </c>
      <c r="C24" s="95"/>
      <c r="D24" s="96">
        <v>0.52946824013782756</v>
      </c>
      <c r="E24" s="94"/>
      <c r="F24" s="163"/>
    </row>
    <row r="25" spans="2:6" ht="16.5" customHeight="1" x14ac:dyDescent="0.25">
      <c r="B25" s="94" t="str">
        <f>INDEX(Language!D2:M33,25,IF(A1="EN",1,6))</f>
        <v>Share of bullet loans (% of primary cover pool)</v>
      </c>
      <c r="C25" s="95"/>
      <c r="D25" s="96">
        <v>7.4122216360968191E-2</v>
      </c>
      <c r="E25" s="94"/>
      <c r="F25" s="163"/>
    </row>
    <row r="26" spans="2:6" ht="16.5" customHeight="1" x14ac:dyDescent="0.25">
      <c r="B26" s="100" t="str">
        <f>INDEX(Language!D2:M33,26,IF(A1="EN",1,6))</f>
        <v>Share of loans in foreign currency (% of primary cover pool)</v>
      </c>
      <c r="C26" s="95"/>
      <c r="D26" s="96">
        <v>2.0544086052434463E-2</v>
      </c>
      <c r="E26" s="94"/>
      <c r="F26" s="163"/>
    </row>
    <row r="27" spans="2:6" ht="16.5" customHeight="1" x14ac:dyDescent="0.25">
      <c r="B27" s="94" t="str">
        <f>INDEX(Language!D2:M33,27,IF(A1="EN",1,6))</f>
        <v>Share of issues in foreign currency (% of primary cover pool)</v>
      </c>
      <c r="C27" s="95"/>
      <c r="D27" s="96">
        <v>0</v>
      </c>
      <c r="E27" s="94"/>
      <c r="F27" s="163"/>
    </row>
    <row r="28" spans="2:6" ht="16.5" customHeight="1" x14ac:dyDescent="0.25">
      <c r="B28" s="94" t="str">
        <f>INDEX(Language!D2:M33,28,IF(A1="EN",1,6))</f>
        <v>Share of loans with fixed interest rate for longer than 1 year  (% of primary cover pool)</v>
      </c>
      <c r="C28" s="95"/>
      <c r="D28" s="96">
        <v>0.50569584792728339</v>
      </c>
      <c r="E28" s="94"/>
      <c r="F28" s="163"/>
    </row>
    <row r="29" spans="2:6" ht="16.5" customHeight="1" x14ac:dyDescent="0.25">
      <c r="B29" s="94" t="str">
        <f>INDEX(Language!D2:M33,29,IF(A1="EN",1,6))</f>
        <v>Nominal over-collateralisation (total cover pool / outstanding issues in %)</v>
      </c>
      <c r="C29" s="95"/>
      <c r="D29" s="96">
        <v>0.15273913394553262</v>
      </c>
      <c r="E29" s="160"/>
      <c r="F29" s="163"/>
    </row>
    <row r="30" spans="2:6" ht="16.5" customHeight="1" x14ac:dyDescent="0.25">
      <c r="B30" s="94" t="str">
        <f>INDEX(Language!D2:M33,30,IF(A1="EN",1,6))</f>
        <v>Present value over-collateralisation (PV total cover pool / PV outstanding issues in %)</v>
      </c>
      <c r="C30" s="95"/>
      <c r="D30" s="96">
        <v>0.30470667797622975</v>
      </c>
      <c r="E30" s="94"/>
      <c r="F30" s="163"/>
    </row>
    <row r="31" spans="2:6" ht="16.5" customHeight="1" x14ac:dyDescent="0.25">
      <c r="B31" s="94" t="str">
        <f>INDEX(Language!D2:M33,31,IF(A1="EN",1,6))</f>
        <v>Number of issues</v>
      </c>
      <c r="C31" s="95"/>
      <c r="D31" s="98">
        <v>58</v>
      </c>
      <c r="E31" s="94"/>
      <c r="F31" s="151"/>
    </row>
    <row r="32" spans="2:6" ht="16.5" customHeight="1" x14ac:dyDescent="0.25">
      <c r="B32" s="94" t="str">
        <f>INDEX(Language!D2:M33,32,IF(A1="EN",1,6))</f>
        <v>Average issue size</v>
      </c>
      <c r="C32" s="95" t="str">
        <f>INDEX(Language!D2:M33,32,IF(A1="EN",2,7))</f>
        <v>in mn</v>
      </c>
      <c r="D32" s="182">
        <v>64422709.445</v>
      </c>
      <c r="E32" s="94"/>
      <c r="F32" s="166"/>
    </row>
  </sheetData>
  <mergeCells count="1">
    <mergeCell ref="C1:E1"/>
  </mergeCells>
  <dataValidations disablePrompts="1" count="1">
    <dataValidation type="list" allowBlank="1" showInputMessage="1" showErrorMessage="1" sqref="A1" xr:uid="{00000000-0002-0000-0000-000000000000}">
      <formula1>Versions_L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Dropdown:" prompt="Ja/yes_x000a_Nein/no_x000a_n.v./n.a." xr:uid="{00000000-0002-0000-0000-000001000000}">
          <x14:formula1>
            <xm:f>IF(A1="DE",Language!$A$10:$A$12,Language!$A$13:$A$15)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52"/>
  <sheetViews>
    <sheetView zoomScale="115" zoomScaleNormal="115" zoomScalePageLayoutView="85" workbookViewId="0">
      <selection activeCell="F154" sqref="F154"/>
    </sheetView>
  </sheetViews>
  <sheetFormatPr baseColWidth="10" defaultColWidth="9.140625" defaultRowHeight="12.75" outlineLevelRow="1" x14ac:dyDescent="0.2"/>
  <cols>
    <col min="1" max="1" width="6" style="2" customWidth="1"/>
    <col min="2" max="2" width="22.5703125" style="2" customWidth="1"/>
    <col min="3" max="4" width="12.7109375" style="4" customWidth="1"/>
    <col min="5" max="5" width="2.42578125" style="4" customWidth="1"/>
    <col min="6" max="6" width="22.7109375" style="2" customWidth="1"/>
    <col min="7" max="7" width="12.7109375" style="4" customWidth="1"/>
    <col min="8" max="8" width="13" style="4" customWidth="1"/>
    <col min="9" max="16384" width="9.140625" style="2"/>
  </cols>
  <sheetData>
    <row r="1" spans="1:9" s="5" customFormat="1" ht="25.5" customHeight="1" thickBot="1" x14ac:dyDescent="0.3">
      <c r="A1" s="108" t="s">
        <v>19</v>
      </c>
      <c r="B1" s="24" t="str">
        <f>INDEX(Language!$D$2:$X$300,SUM(Language!AB1),IF(Overview!$A$1="EN",2,11))</f>
        <v>INFORMATION ON PRIMARY COVER POOL</v>
      </c>
      <c r="C1" s="24"/>
      <c r="D1" s="24"/>
      <c r="E1" s="24"/>
      <c r="F1" s="24"/>
      <c r="G1" s="24"/>
      <c r="H1" s="74" t="str">
        <f>INDEX(Language!$D$2:$X$300,SUM(Language!AH1),IF(Overview!$A$1="EN",8,17))</f>
        <v>display unit in mn - except "number"</v>
      </c>
      <c r="I1" s="135"/>
    </row>
    <row r="2" spans="1:9" s="5" customFormat="1" ht="21.75" customHeight="1" thickBot="1" x14ac:dyDescent="0.3">
      <c r="A2" s="26" t="s">
        <v>21</v>
      </c>
      <c r="B2" s="26" t="str">
        <f>INDEX(Language!$D$2:$X$300,SUM(Language!AB2),IF(Overview!$A$1="EN",2,11))</f>
        <v>Distribution by loan size</v>
      </c>
      <c r="C2" s="27"/>
      <c r="D2" s="159"/>
      <c r="E2" s="27"/>
      <c r="F2" s="26"/>
      <c r="G2" s="27"/>
      <c r="H2" s="27"/>
      <c r="I2" s="135"/>
    </row>
    <row r="3" spans="1:9" s="5" customFormat="1" ht="15" x14ac:dyDescent="0.25">
      <c r="C3" s="6"/>
      <c r="D3" s="6"/>
      <c r="E3" s="6"/>
      <c r="G3" s="6"/>
      <c r="H3" s="6"/>
      <c r="I3" s="135"/>
    </row>
    <row r="4" spans="1:9" s="15" customFormat="1" x14ac:dyDescent="0.2">
      <c r="A4" s="55"/>
      <c r="B4" s="28" t="str">
        <f>INDEX(Language!$D$2:$X$300,SUM(Language!AB4),IF(Overview!$A$1="EN",2,11))</f>
        <v>Primary cover pool by loan size</v>
      </c>
      <c r="C4" s="17"/>
      <c r="D4" s="14"/>
      <c r="E4" s="16"/>
      <c r="G4" s="16"/>
      <c r="H4" s="16"/>
      <c r="I4" s="136"/>
    </row>
    <row r="5" spans="1:9" s="15" customFormat="1" x14ac:dyDescent="0.2">
      <c r="A5" s="56"/>
      <c r="B5" s="22"/>
      <c r="C5" s="19" t="str">
        <f>INDEX(Language!$D$2:$X$300,SUM(Language!AC5),IF(Overview!$A$1="EN",3,12))</f>
        <v>volume</v>
      </c>
      <c r="D5" s="20" t="str">
        <f>INDEX(Language!$D$2:$X$300,SUM(Language!AD5),IF(Overview!$A$1="EN",4,13))</f>
        <v>number</v>
      </c>
      <c r="E5" s="16"/>
      <c r="G5" s="16"/>
      <c r="H5" s="16"/>
      <c r="I5" s="136"/>
    </row>
    <row r="6" spans="1:9" ht="15" x14ac:dyDescent="0.25">
      <c r="A6" s="57" t="s">
        <v>129</v>
      </c>
      <c r="B6" s="175" t="s">
        <v>26</v>
      </c>
      <c r="C6" s="103">
        <f>SUM(C7:C8)</f>
        <v>1062346424.037605</v>
      </c>
      <c r="D6" s="176">
        <f>SUM(D7:D8)</f>
        <v>47894</v>
      </c>
      <c r="I6" s="5"/>
    </row>
    <row r="7" spans="1:9" ht="15" x14ac:dyDescent="0.25">
      <c r="A7" s="57" t="s">
        <v>128</v>
      </c>
      <c r="B7" s="175" t="s">
        <v>123</v>
      </c>
      <c r="C7" s="103">
        <v>765598956.77139819</v>
      </c>
      <c r="D7" s="176">
        <v>46334</v>
      </c>
      <c r="I7" s="5"/>
    </row>
    <row r="8" spans="1:9" ht="15" x14ac:dyDescent="0.25">
      <c r="A8" s="57" t="s">
        <v>130</v>
      </c>
      <c r="B8" s="175" t="s">
        <v>124</v>
      </c>
      <c r="C8" s="103">
        <v>296747467.26620686</v>
      </c>
      <c r="D8" s="176">
        <v>1560</v>
      </c>
      <c r="I8" s="5"/>
    </row>
    <row r="9" spans="1:9" ht="15" x14ac:dyDescent="0.25">
      <c r="A9" s="57"/>
      <c r="B9" s="177" t="s">
        <v>27</v>
      </c>
      <c r="C9" s="103">
        <f>SUM(C10:C12)</f>
        <v>1265420358.5410485</v>
      </c>
      <c r="D9" s="176">
        <f>SUM(D10:D12)</f>
        <v>1513</v>
      </c>
      <c r="I9" s="5"/>
    </row>
    <row r="10" spans="1:9" ht="15" x14ac:dyDescent="0.25">
      <c r="A10" s="57" t="s">
        <v>131</v>
      </c>
      <c r="B10" s="177" t="s">
        <v>125</v>
      </c>
      <c r="C10" s="103">
        <v>245792987.97</v>
      </c>
      <c r="D10" s="176">
        <v>640</v>
      </c>
      <c r="I10" s="5"/>
    </row>
    <row r="11" spans="1:9" ht="15" x14ac:dyDescent="0.25">
      <c r="A11" s="57" t="s">
        <v>132</v>
      </c>
      <c r="B11" s="177" t="s">
        <v>126</v>
      </c>
      <c r="C11" s="103">
        <v>368242816.76999998</v>
      </c>
      <c r="D11" s="176">
        <v>539</v>
      </c>
      <c r="I11" s="5"/>
    </row>
    <row r="12" spans="1:9" ht="15" x14ac:dyDescent="0.25">
      <c r="A12" s="57" t="s">
        <v>133</v>
      </c>
      <c r="B12" s="177" t="s">
        <v>127</v>
      </c>
      <c r="C12" s="103">
        <v>651384553.80104864</v>
      </c>
      <c r="D12" s="176">
        <v>334</v>
      </c>
      <c r="I12" s="5"/>
    </row>
    <row r="13" spans="1:9" ht="15" x14ac:dyDescent="0.25">
      <c r="A13" s="57" t="s">
        <v>134</v>
      </c>
      <c r="B13" s="177" t="s">
        <v>29</v>
      </c>
      <c r="C13" s="103">
        <v>1889602308.3604772</v>
      </c>
      <c r="D13" s="176">
        <v>89</v>
      </c>
      <c r="I13" s="5"/>
    </row>
    <row r="14" spans="1:9" s="15" customFormat="1" ht="15" x14ac:dyDescent="0.25">
      <c r="A14" s="55"/>
      <c r="B14" s="54" t="str">
        <f>INDEX(Language!$D$2:$X$300,SUM(Language!AB14),IF(Overview!$A$1="EN",2,11))</f>
        <v>Total</v>
      </c>
      <c r="C14" s="180">
        <f>C6+C9+C13</f>
        <v>4217369090.9391308</v>
      </c>
      <c r="D14" s="181">
        <f>D13+D9+D6</f>
        <v>49496</v>
      </c>
      <c r="E14" s="16"/>
      <c r="G14" s="16"/>
      <c r="H14" s="16"/>
      <c r="I14" s="5"/>
    </row>
    <row r="15" spans="1:9" ht="15" x14ac:dyDescent="0.25">
      <c r="I15" s="5"/>
    </row>
    <row r="16" spans="1:9" s="5" customFormat="1" ht="15.75" thickBot="1" x14ac:dyDescent="0.3">
      <c r="A16" s="24" t="s">
        <v>31</v>
      </c>
      <c r="B16" s="24" t="str">
        <f>INDEX(Language!$D$2:$X$300,SUM(Language!AB16),IF(Overview!$A$1="EN",2,11))</f>
        <v>Distribution by currencies after cover pool FX derivatives</v>
      </c>
      <c r="C16" s="25"/>
      <c r="D16" s="25"/>
      <c r="E16" s="25"/>
      <c r="F16" s="24"/>
      <c r="G16" s="25"/>
      <c r="H16" s="25"/>
    </row>
    <row r="17" spans="1:9" ht="15" x14ac:dyDescent="0.25">
      <c r="I17" s="5"/>
    </row>
    <row r="18" spans="1:9" s="15" customFormat="1" ht="15" x14ac:dyDescent="0.25">
      <c r="B18" s="12" t="str">
        <f>INDEX(Language!$D$2:$X$300,SUM(Language!AB18),IF(Overview!$A$1="EN",2,11))</f>
        <v>FX derivatives</v>
      </c>
      <c r="C18" s="127"/>
      <c r="D18" s="128"/>
      <c r="E18" s="16"/>
      <c r="G18" s="16"/>
      <c r="H18" s="16"/>
      <c r="I18" s="5"/>
    </row>
    <row r="19" spans="1:9" s="15" customFormat="1" ht="15" x14ac:dyDescent="0.25">
      <c r="B19" s="7" t="str">
        <f>INDEX(Language!$D$2:$X$300,SUM(Language!AB19),IF(Overview!$A$1="EN",2,11))</f>
        <v>FX derivatives in cover pool</v>
      </c>
      <c r="C19" s="8"/>
      <c r="D19" s="70" t="s">
        <v>318</v>
      </c>
      <c r="E19" s="16"/>
      <c r="G19" s="16"/>
      <c r="H19" s="16"/>
      <c r="I19" s="5"/>
    </row>
    <row r="20" spans="1:9" ht="15" x14ac:dyDescent="0.25">
      <c r="B20" s="7" t="str">
        <f>INDEX(Language!$D$2:$X$300,SUM(Language!AB20),IF(Overview!$A$1="EN",2,11))</f>
        <v>nominal of FX derivatives</v>
      </c>
      <c r="C20" s="8"/>
      <c r="D20" s="69"/>
      <c r="I20" s="5"/>
    </row>
    <row r="21" spans="1:9" ht="15" x14ac:dyDescent="0.25">
      <c r="I21" s="5"/>
    </row>
    <row r="22" spans="1:9" s="15" customFormat="1" ht="15" x14ac:dyDescent="0.25">
      <c r="B22" s="13" t="str">
        <f>INDEX(Language!$D$2:$X$300,SUM(Language!AB22),IF(Overview!$A$1="EN",2,11))</f>
        <v>Primary cover pool</v>
      </c>
      <c r="C22" s="127"/>
      <c r="D22" s="14" t="str">
        <f>INDEX(Language!$D$2:$X$300,SUM(Language!AD22),IF(Overview!$A$1="EN",4,13))</f>
        <v>volume</v>
      </c>
      <c r="E22" s="16"/>
      <c r="F22" s="13" t="str">
        <f>INDEX(Language!$D$2:$X$300,SUM(Language!AF22),IF(Overview!$A$1="EN",6,15))</f>
        <v>Issues</v>
      </c>
      <c r="G22" s="127"/>
      <c r="H22" s="14" t="str">
        <f>INDEX(Language!$D$2:$X$300,SUM(Language!AH22),IF(Overview!$A$1="EN",8,17))</f>
        <v>volume</v>
      </c>
      <c r="I22" s="5"/>
    </row>
    <row r="23" spans="1:9" ht="15" x14ac:dyDescent="0.25">
      <c r="B23" s="102" t="s">
        <v>35</v>
      </c>
      <c r="C23" s="178"/>
      <c r="D23" s="158">
        <v>4130727097.4200001</v>
      </c>
      <c r="F23" s="7" t="str">
        <f>INDEX(Language!$D$2:$X$300,SUM(Language!AF23),IF(Overview!$A$1="EN",6,15))</f>
        <v>in EUR</v>
      </c>
      <c r="G23" s="8"/>
      <c r="H23" s="158">
        <v>3736517147.8099999</v>
      </c>
      <c r="I23" s="5"/>
    </row>
    <row r="24" spans="1:9" ht="15" x14ac:dyDescent="0.25">
      <c r="B24" s="102" t="s">
        <v>36</v>
      </c>
      <c r="C24" s="178"/>
      <c r="D24" s="158">
        <v>86641993.519130811</v>
      </c>
      <c r="F24" s="7" t="str">
        <f>INDEX(Language!$D$2:$X$300,SUM(Language!AF24),IF(Overview!$A$1="EN",6,15))</f>
        <v>in CHF</v>
      </c>
      <c r="G24" s="8"/>
      <c r="H24" s="158"/>
      <c r="I24" s="5"/>
    </row>
    <row r="25" spans="1:9" ht="15" x14ac:dyDescent="0.25">
      <c r="B25" s="102" t="s">
        <v>37</v>
      </c>
      <c r="C25" s="178"/>
      <c r="D25" s="158"/>
      <c r="F25" s="7" t="str">
        <f>INDEX(Language!$D$2:$X$300,SUM(Language!AF25),IF(Overview!$A$1="EN",6,15))</f>
        <v>in USD</v>
      </c>
      <c r="G25" s="8"/>
      <c r="H25" s="158"/>
      <c r="I25" s="5"/>
    </row>
    <row r="26" spans="1:9" ht="15" x14ac:dyDescent="0.25">
      <c r="B26" s="102" t="s">
        <v>166</v>
      </c>
      <c r="C26" s="178"/>
      <c r="D26" s="158"/>
      <c r="F26" s="7" t="str">
        <f>INDEX(Language!$D$2:$X$300,SUM(Language!AF26),IF(Overview!$A$1="EN",6,15))</f>
        <v>in JPY</v>
      </c>
      <c r="G26" s="8"/>
      <c r="H26" s="158"/>
      <c r="I26" s="5"/>
    </row>
    <row r="27" spans="1:9" ht="15" x14ac:dyDescent="0.25">
      <c r="B27" s="7" t="str">
        <f>INDEX(Language!$D$2:$X$300,SUM(Language!AB27),IF(Overview!$A$1="EN",2,11))</f>
        <v>Other</v>
      </c>
      <c r="C27" s="8"/>
      <c r="D27" s="158"/>
      <c r="F27" s="7" t="str">
        <f>INDEX(Language!$D$2:$X$300,SUM(Language!AF27),IF(Overview!$A$1="EN",6,15))</f>
        <v>Other</v>
      </c>
      <c r="G27" s="8"/>
      <c r="H27" s="158"/>
      <c r="I27" s="5"/>
    </row>
    <row r="28" spans="1:9" s="15" customFormat="1" ht="15" x14ac:dyDescent="0.25">
      <c r="B28" s="21" t="str">
        <f>INDEX(Language!$D$2:$X$300,SUM(Language!AB28),IF(Overview!$A$1="EN",2,11))</f>
        <v>Total</v>
      </c>
      <c r="C28" s="23"/>
      <c r="D28" s="179">
        <f>SUM(D23:D27)</f>
        <v>4217369090.9391308</v>
      </c>
      <c r="E28" s="16"/>
      <c r="F28" s="21" t="str">
        <f>INDEX(Language!$D$2:$X$300,SUM(Language!AF28),IF(Overview!$A$1="EN",6,15))</f>
        <v>Total</v>
      </c>
      <c r="G28" s="23"/>
      <c r="H28" s="179">
        <f>SUM(H23:H27)</f>
        <v>3736517147.8099999</v>
      </c>
      <c r="I28" s="5"/>
    </row>
    <row r="29" spans="1:9" ht="15" x14ac:dyDescent="0.25">
      <c r="I29" s="5"/>
    </row>
    <row r="30" spans="1:9" ht="15" x14ac:dyDescent="0.25">
      <c r="I30" s="5"/>
    </row>
    <row r="31" spans="1:9" s="5" customFormat="1" ht="15.75" thickBot="1" x14ac:dyDescent="0.3">
      <c r="A31" s="58" t="s">
        <v>40</v>
      </c>
      <c r="B31" s="24" t="str">
        <f>INDEX(Language!$D$2:$X$300,SUM(Language!AB31),IF(Overview!$A$1="EN",2,11))</f>
        <v>Regional distribution</v>
      </c>
      <c r="C31" s="25"/>
      <c r="D31" s="25"/>
      <c r="E31" s="25"/>
      <c r="F31" s="24"/>
      <c r="G31" s="25"/>
      <c r="H31" s="25"/>
    </row>
    <row r="32" spans="1:9" ht="15" x14ac:dyDescent="0.25">
      <c r="I32" s="5"/>
    </row>
    <row r="33" spans="2:9" ht="15" x14ac:dyDescent="0.25">
      <c r="B33" s="83" t="str">
        <f>INDEX(Language!$D$2:$X$300,SUM(Language!AB33),IF(Overview!$A$1="EN",2,11))</f>
        <v xml:space="preserve">Regional distribution </v>
      </c>
      <c r="C33" s="127" t="str">
        <f>INDEX(Language!$D$2:$X$300,SUM(Language!AC33),IF(Overview!$A$1="EN",3,12))</f>
        <v>volume</v>
      </c>
      <c r="D33" s="128" t="str">
        <f>INDEX(Language!$D$2:$X$300,SUM(Language!AD33),IF(Overview!$A$1="EN",4,13))</f>
        <v>%</v>
      </c>
      <c r="I33" s="5"/>
    </row>
    <row r="34" spans="2:9" ht="15" x14ac:dyDescent="0.25">
      <c r="B34" s="11" t="str">
        <f>INDEX(Language!$D$2:$X$300,SUM(Language!AB34),IF(Overview!$A$1="EN",2,11))</f>
        <v>EU member states</v>
      </c>
      <c r="C34" s="106">
        <f>SUM(C35:C62)</f>
        <v>4217369090.9391308</v>
      </c>
      <c r="D34" s="107">
        <f>SUM(D35:D62)</f>
        <v>1</v>
      </c>
      <c r="I34" s="5"/>
    </row>
    <row r="35" spans="2:9" ht="15" outlineLevel="1" x14ac:dyDescent="0.25">
      <c r="B35" s="7" t="str">
        <f>INDEX(Language!$D$2:$X$300,SUM(Language!AB35),IF(Overview!$A$1="EN",2,11))</f>
        <v>Austria</v>
      </c>
      <c r="C35" s="103">
        <v>4197369090.9391308</v>
      </c>
      <c r="D35" s="104">
        <f>IF(($C$69=0),0,(C35/$C$69))</f>
        <v>0.99525770698064597</v>
      </c>
      <c r="I35" s="5"/>
    </row>
    <row r="36" spans="2:9" ht="15" outlineLevel="1" x14ac:dyDescent="0.25">
      <c r="B36" s="7" t="str">
        <f>INDEX(Language!$D$2:$X$300,SUM(Language!AB36),IF(Overview!$A$1="EN",2,11))</f>
        <v>Belgium</v>
      </c>
      <c r="C36" s="67"/>
      <c r="D36" s="104">
        <f t="shared" ref="D36:D62" si="0">IF(($C$69=0),0,(C36/$C$69))</f>
        <v>0</v>
      </c>
      <c r="I36" s="5"/>
    </row>
    <row r="37" spans="2:9" ht="15" outlineLevel="1" x14ac:dyDescent="0.25">
      <c r="B37" s="7" t="str">
        <f>INDEX(Language!$D$2:$X$300,SUM(Language!AB37),IF(Overview!$A$1="EN",2,11))</f>
        <v>Bulgaria</v>
      </c>
      <c r="C37" s="67"/>
      <c r="D37" s="104">
        <f t="shared" si="0"/>
        <v>0</v>
      </c>
      <c r="I37" s="5"/>
    </row>
    <row r="38" spans="2:9" ht="15" outlineLevel="1" x14ac:dyDescent="0.25">
      <c r="B38" s="7" t="str">
        <f>INDEX(Language!$D$2:$X$300,SUM(Language!AB38),IF(Overview!$A$1="EN",2,11))</f>
        <v>Croatia</v>
      </c>
      <c r="C38" s="67"/>
      <c r="D38" s="104">
        <f t="shared" si="0"/>
        <v>0</v>
      </c>
      <c r="I38" s="5"/>
    </row>
    <row r="39" spans="2:9" ht="15" outlineLevel="1" x14ac:dyDescent="0.25">
      <c r="B39" s="7" t="str">
        <f>INDEX(Language!$D$2:$X$300,SUM(Language!AB39),IF(Overview!$A$1="EN",2,11))</f>
        <v>Cyprus</v>
      </c>
      <c r="C39" s="67"/>
      <c r="D39" s="104">
        <f t="shared" si="0"/>
        <v>0</v>
      </c>
      <c r="I39" s="5"/>
    </row>
    <row r="40" spans="2:9" ht="15" outlineLevel="1" x14ac:dyDescent="0.25">
      <c r="B40" s="7" t="str">
        <f>INDEX(Language!$D$2:$X$300,SUM(Language!AB40),IF(Overview!$A$1="EN",2,11))</f>
        <v>Czech Republic</v>
      </c>
      <c r="C40" s="67"/>
      <c r="D40" s="104">
        <f t="shared" si="0"/>
        <v>0</v>
      </c>
      <c r="I40" s="5"/>
    </row>
    <row r="41" spans="2:9" ht="15" outlineLevel="1" x14ac:dyDescent="0.25">
      <c r="B41" s="7" t="str">
        <f>INDEX(Language!$D$2:$X$300,SUM(Language!AB41),IF(Overview!$A$1="EN",2,11))</f>
        <v>Denmark</v>
      </c>
      <c r="C41" s="67"/>
      <c r="D41" s="104">
        <f t="shared" si="0"/>
        <v>0</v>
      </c>
      <c r="I41" s="5"/>
    </row>
    <row r="42" spans="2:9" ht="15" outlineLevel="1" x14ac:dyDescent="0.25">
      <c r="B42" s="7" t="str">
        <f>INDEX(Language!$D$2:$X$300,SUM(Language!AB42),IF(Overview!$A$1="EN",2,11))</f>
        <v>Estonia</v>
      </c>
      <c r="C42" s="67"/>
      <c r="D42" s="104">
        <f t="shared" si="0"/>
        <v>0</v>
      </c>
      <c r="I42" s="5"/>
    </row>
    <row r="43" spans="2:9" ht="15" outlineLevel="1" x14ac:dyDescent="0.25">
      <c r="B43" s="7" t="str">
        <f>INDEX(Language!$D$2:$X$300,SUM(Language!AB43),IF(Overview!$A$1="EN",2,11))</f>
        <v>Finnland</v>
      </c>
      <c r="C43" s="67"/>
      <c r="D43" s="104">
        <f t="shared" si="0"/>
        <v>0</v>
      </c>
      <c r="I43" s="5"/>
    </row>
    <row r="44" spans="2:9" ht="15" outlineLevel="1" x14ac:dyDescent="0.25">
      <c r="B44" s="7" t="str">
        <f>INDEX(Language!$D$2:$X$300,SUM(Language!AB44),IF(Overview!$A$1="EN",2,11))</f>
        <v>France</v>
      </c>
      <c r="C44" s="67"/>
      <c r="D44" s="104">
        <f t="shared" si="0"/>
        <v>0</v>
      </c>
      <c r="I44" s="5"/>
    </row>
    <row r="45" spans="2:9" ht="15" outlineLevel="1" x14ac:dyDescent="0.25">
      <c r="B45" s="7" t="str">
        <f>INDEX(Language!$D$2:$X$300,SUM(Language!AB45),IF(Overview!$A$1="EN",2,11))</f>
        <v>Germany</v>
      </c>
      <c r="C45" s="67"/>
      <c r="D45" s="104">
        <f t="shared" si="0"/>
        <v>0</v>
      </c>
      <c r="I45" s="5"/>
    </row>
    <row r="46" spans="2:9" ht="15" outlineLevel="1" x14ac:dyDescent="0.25">
      <c r="B46" s="7" t="str">
        <f>INDEX(Language!$D$2:$X$300,SUM(Language!AB46),IF(Overview!$A$1="EN",2,11))</f>
        <v>Greece</v>
      </c>
      <c r="C46" s="67"/>
      <c r="D46" s="104">
        <f t="shared" si="0"/>
        <v>0</v>
      </c>
      <c r="I46" s="5"/>
    </row>
    <row r="47" spans="2:9" ht="15" outlineLevel="1" x14ac:dyDescent="0.25">
      <c r="B47" s="7" t="str">
        <f>INDEX(Language!$D$2:$X$300,SUM(Language!AB47),IF(Overview!$A$1="EN",2,11))</f>
        <v>Hungary</v>
      </c>
      <c r="C47" s="67"/>
      <c r="D47" s="104">
        <f t="shared" si="0"/>
        <v>0</v>
      </c>
      <c r="I47" s="5"/>
    </row>
    <row r="48" spans="2:9" ht="15" outlineLevel="1" x14ac:dyDescent="0.25">
      <c r="B48" s="7" t="str">
        <f>INDEX(Language!$D$2:$X$300,SUM(Language!AB48),IF(Overview!$A$1="EN",2,11))</f>
        <v>Irland</v>
      </c>
      <c r="C48" s="67"/>
      <c r="D48" s="104">
        <f t="shared" si="0"/>
        <v>0</v>
      </c>
      <c r="I48" s="5"/>
    </row>
    <row r="49" spans="2:9" ht="15" outlineLevel="1" x14ac:dyDescent="0.25">
      <c r="B49" s="7" t="str">
        <f>INDEX(Language!$D$2:$X$300,SUM(Language!AB49),IF(Overview!$A$1="EN",2,11))</f>
        <v>Italy</v>
      </c>
      <c r="C49" s="67"/>
      <c r="D49" s="104">
        <f t="shared" si="0"/>
        <v>0</v>
      </c>
      <c r="I49" s="5"/>
    </row>
    <row r="50" spans="2:9" ht="15" outlineLevel="1" x14ac:dyDescent="0.25">
      <c r="B50" s="7" t="str">
        <f>INDEX(Language!$D$2:$X$300,SUM(Language!AB50),IF(Overview!$A$1="EN",2,11))</f>
        <v>Latvia</v>
      </c>
      <c r="C50" s="67"/>
      <c r="D50" s="104">
        <f t="shared" si="0"/>
        <v>0</v>
      </c>
      <c r="I50" s="5"/>
    </row>
    <row r="51" spans="2:9" ht="15" outlineLevel="1" x14ac:dyDescent="0.25">
      <c r="B51" s="7" t="str">
        <f>INDEX(Language!$D$2:$X$300,SUM(Language!AB51),IF(Overview!$A$1="EN",2,11))</f>
        <v>Lituania</v>
      </c>
      <c r="C51" s="67"/>
      <c r="D51" s="104">
        <f t="shared" si="0"/>
        <v>0</v>
      </c>
      <c r="I51" s="5"/>
    </row>
    <row r="52" spans="2:9" ht="15" outlineLevel="1" x14ac:dyDescent="0.25">
      <c r="B52" s="7" t="str">
        <f>INDEX(Language!$D$2:$X$300,SUM(Language!AB52),IF(Overview!$A$1="EN",2,11))</f>
        <v>Luxembourg</v>
      </c>
      <c r="C52" s="67"/>
      <c r="D52" s="104">
        <f t="shared" si="0"/>
        <v>0</v>
      </c>
      <c r="I52" s="5"/>
    </row>
    <row r="53" spans="2:9" ht="15" outlineLevel="1" x14ac:dyDescent="0.25">
      <c r="B53" s="7" t="str">
        <f>INDEX(Language!$D$2:$X$300,SUM(Language!AB53),IF(Overview!$A$1="EN",2,11))</f>
        <v>Malta</v>
      </c>
      <c r="C53" s="67"/>
      <c r="D53" s="104">
        <f t="shared" si="0"/>
        <v>0</v>
      </c>
      <c r="I53" s="5"/>
    </row>
    <row r="54" spans="2:9" ht="15" outlineLevel="1" x14ac:dyDescent="0.25">
      <c r="B54" s="7" t="str">
        <f>INDEX(Language!$D$2:$X$300,SUM(Language!AB54),IF(Overview!$A$1="EN",2,11))</f>
        <v>Poland</v>
      </c>
      <c r="C54" s="103">
        <v>20000000</v>
      </c>
      <c r="D54" s="104">
        <f t="shared" si="0"/>
        <v>4.7422930193540087E-3</v>
      </c>
      <c r="I54" s="5"/>
    </row>
    <row r="55" spans="2:9" ht="15" outlineLevel="1" x14ac:dyDescent="0.25">
      <c r="B55" s="7" t="str">
        <f>INDEX(Language!$D$2:$X$300,SUM(Language!AB55),IF(Overview!$A$1="EN",2,11))</f>
        <v>Portugal</v>
      </c>
      <c r="C55" s="67"/>
      <c r="D55" s="104">
        <f t="shared" si="0"/>
        <v>0</v>
      </c>
      <c r="I55" s="5"/>
    </row>
    <row r="56" spans="2:9" ht="15" outlineLevel="1" x14ac:dyDescent="0.25">
      <c r="B56" s="7" t="str">
        <f>INDEX(Language!$D$2:$X$300,SUM(Language!AB56),IF(Overview!$A$1="EN",2,11))</f>
        <v>Romania</v>
      </c>
      <c r="C56" s="67"/>
      <c r="D56" s="104">
        <f t="shared" si="0"/>
        <v>0</v>
      </c>
      <c r="I56" s="5"/>
    </row>
    <row r="57" spans="2:9" ht="15" outlineLevel="1" x14ac:dyDescent="0.25">
      <c r="B57" s="7" t="str">
        <f>INDEX(Language!$D$2:$X$300,SUM(Language!AB57),IF(Overview!$A$1="EN",2,11))</f>
        <v>Slovakia</v>
      </c>
      <c r="C57" s="67"/>
      <c r="D57" s="104">
        <f t="shared" si="0"/>
        <v>0</v>
      </c>
      <c r="I57" s="5"/>
    </row>
    <row r="58" spans="2:9" ht="15" outlineLevel="1" x14ac:dyDescent="0.25">
      <c r="B58" s="7" t="str">
        <f>INDEX(Language!$D$2:$X$300,SUM(Language!AB58),IF(Overview!$A$1="EN",2,11))</f>
        <v>Slovenia</v>
      </c>
      <c r="C58" s="67"/>
      <c r="D58" s="104">
        <f t="shared" si="0"/>
        <v>0</v>
      </c>
      <c r="I58" s="5"/>
    </row>
    <row r="59" spans="2:9" ht="15" outlineLevel="1" x14ac:dyDescent="0.25">
      <c r="B59" s="7" t="str">
        <f>INDEX(Language!$D$2:$X$300,SUM(Language!AB59),IF(Overview!$A$1="EN",2,11))</f>
        <v>Spain</v>
      </c>
      <c r="C59" s="67"/>
      <c r="D59" s="104">
        <f t="shared" si="0"/>
        <v>0</v>
      </c>
      <c r="I59" s="5"/>
    </row>
    <row r="60" spans="2:9" ht="15" outlineLevel="1" x14ac:dyDescent="0.25">
      <c r="B60" s="7" t="str">
        <f>INDEX(Language!$D$2:$X$300,SUM(Language!AB60),IF(Overview!$A$1="EN",2,11))</f>
        <v>Sweden</v>
      </c>
      <c r="C60" s="67"/>
      <c r="D60" s="104">
        <f t="shared" si="0"/>
        <v>0</v>
      </c>
      <c r="I60" s="5"/>
    </row>
    <row r="61" spans="2:9" ht="15" outlineLevel="1" x14ac:dyDescent="0.25">
      <c r="B61" s="7" t="str">
        <f>INDEX(Language!$D$2:$X$300,SUM(Language!AB61),IF(Overview!$A$1="EN",2,11))</f>
        <v>The Netherlands</v>
      </c>
      <c r="C61" s="67"/>
      <c r="D61" s="104">
        <f t="shared" si="0"/>
        <v>0</v>
      </c>
      <c r="I61" s="5"/>
    </row>
    <row r="62" spans="2:9" ht="15" outlineLevel="1" x14ac:dyDescent="0.25">
      <c r="B62" s="7" t="str">
        <f>INDEX(Language!$D$2:$X$300,SUM(Language!AB62),IF(Overview!$A$1="EN",2,11))</f>
        <v>UK</v>
      </c>
      <c r="C62" s="67"/>
      <c r="D62" s="104">
        <f t="shared" si="0"/>
        <v>0</v>
      </c>
      <c r="I62" s="5"/>
    </row>
    <row r="63" spans="2:9" ht="15" x14ac:dyDescent="0.25">
      <c r="B63" s="11" t="str">
        <f>INDEX(Language!$D$2:$X$300,SUM(Language!AB63),IF(Overview!$A$1="EN",2,11))</f>
        <v>EEA member states</v>
      </c>
      <c r="C63" s="71">
        <v>0</v>
      </c>
      <c r="D63" s="107">
        <f>SUM(D64:D66)</f>
        <v>0</v>
      </c>
      <c r="I63" s="5"/>
    </row>
    <row r="64" spans="2:9" ht="15" outlineLevel="1" x14ac:dyDescent="0.25">
      <c r="B64" s="7" t="s">
        <v>319</v>
      </c>
      <c r="C64" s="67"/>
      <c r="D64" s="104">
        <f>IF(($C$69=0),0,(C64/$C$69))</f>
        <v>0</v>
      </c>
      <c r="I64" s="5"/>
    </row>
    <row r="65" spans="2:9" ht="15" outlineLevel="1" x14ac:dyDescent="0.25">
      <c r="B65" s="7" t="str">
        <f>INDEX(Language!$D$2:$X$300,SUM(Language!AB65),IF(Overview!$A$1="EN",2,11))</f>
        <v>Liechtenstein</v>
      </c>
      <c r="C65" s="67"/>
      <c r="D65" s="104">
        <f>IF(($C$69=0),0,(C65/$C$69))</f>
        <v>0</v>
      </c>
      <c r="I65" s="5"/>
    </row>
    <row r="66" spans="2:9" ht="15" outlineLevel="1" x14ac:dyDescent="0.25">
      <c r="B66" s="7" t="str">
        <f>INDEX(Language!$D$2:$X$300,SUM(Language!AB66),IF(Overview!$A$1="EN",2,11))</f>
        <v>Norway</v>
      </c>
      <c r="C66" s="67"/>
      <c r="D66" s="104">
        <f>IF(($C$69=0),0,(C66/$C$69))</f>
        <v>0</v>
      </c>
      <c r="I66" s="5"/>
    </row>
    <row r="67" spans="2:9" ht="15" x14ac:dyDescent="0.25">
      <c r="B67" s="11" t="str">
        <f>INDEX(Language!$D$2:$X$300,SUM(Language!AB67),IF(Overview!$A$1="EN",2,11))</f>
        <v>other countries</v>
      </c>
      <c r="C67" s="71"/>
      <c r="D67" s="107">
        <f>IF(($C$69=0),0,(C67/$C$69))</f>
        <v>0</v>
      </c>
      <c r="I67" s="5"/>
    </row>
    <row r="68" spans="2:9" ht="15" x14ac:dyDescent="0.25">
      <c r="B68" s="11" t="str">
        <f>INDEX(Language!$D$2:$X$300,SUM(Language!AB68),IF(Overview!$A$1="EN",2,11))</f>
        <v>Switzerland</v>
      </c>
      <c r="C68" s="71"/>
      <c r="D68" s="107">
        <f>IF(($C$69=0),0,(C68/$C$69))</f>
        <v>0</v>
      </c>
      <c r="I68" s="5"/>
    </row>
    <row r="69" spans="2:9" ht="15" x14ac:dyDescent="0.25">
      <c r="B69" s="12" t="str">
        <f>INDEX(Language!$D$2:$X$300,SUM(Language!AB69),IF(Overview!$A$1="EN",2,11))</f>
        <v>Total</v>
      </c>
      <c r="C69" s="171">
        <f>SUM(C35:C68)</f>
        <v>4217369090.9391308</v>
      </c>
      <c r="D69" s="172">
        <f>D34+D63+D67+D68</f>
        <v>1</v>
      </c>
      <c r="I69" s="5"/>
    </row>
    <row r="70" spans="2:9" ht="15" x14ac:dyDescent="0.25">
      <c r="I70" s="5"/>
    </row>
    <row r="71" spans="2:9" ht="15" x14ac:dyDescent="0.25">
      <c r="B71" s="13" t="str">
        <f>INDEX(Language!$D$2:$X$300,SUM(Language!AB71),IF(Overview!$A$1="EN",2,11))</f>
        <v>Regional distribution in Austria</v>
      </c>
      <c r="C71" s="17"/>
      <c r="D71" s="17"/>
      <c r="E71" s="28"/>
      <c r="F71" s="28"/>
      <c r="G71" s="28"/>
      <c r="H71" s="29"/>
      <c r="I71" s="5"/>
    </row>
    <row r="72" spans="2:9" ht="15" customHeight="1" x14ac:dyDescent="0.25">
      <c r="B72" s="18"/>
      <c r="C72" s="19" t="str">
        <f>INDEX(Language!$D$2:$X$300,SUM(Language!AC72),IF(Overview!$A$1="EN",3,12))</f>
        <v>volume</v>
      </c>
      <c r="D72" s="22"/>
      <c r="E72" s="22"/>
      <c r="F72" s="19" t="str">
        <f>INDEX(Language!$D$2:$X$300,SUM(Language!AF72),IF(Overview!$A$1="EN",6,15))</f>
        <v>Share in AT</v>
      </c>
      <c r="G72" s="217" t="str">
        <f>INDEX(Language!$D$2:$X$300,SUM(Language!AG72),IF(Overview!$A$1="EN",7,16))</f>
        <v>Share in total</v>
      </c>
      <c r="H72" s="218"/>
      <c r="I72" s="5"/>
    </row>
    <row r="73" spans="2:9" ht="15" customHeight="1" x14ac:dyDescent="0.25">
      <c r="B73" s="7" t="str">
        <f>INDEX(Language!$D$2:$X$300,SUM(Language!AB73),IF(Overview!$A$1="EN",2,11))</f>
        <v>Republic of Austria</v>
      </c>
      <c r="C73" s="103"/>
      <c r="D73" s="30"/>
      <c r="E73" s="30"/>
      <c r="F73" s="185">
        <f>IF(($C$83=0),0,(C73/$C$83))</f>
        <v>0</v>
      </c>
      <c r="G73" s="209">
        <f>IF(($C$69=0),0,(C73/$C$69))</f>
        <v>0</v>
      </c>
      <c r="H73" s="210"/>
      <c r="I73" s="5"/>
    </row>
    <row r="74" spans="2:9" ht="15" customHeight="1" x14ac:dyDescent="0.25">
      <c r="B74" s="7" t="str">
        <f>INDEX(Language!$D$2:$X$300,SUM(Language!AB74),IF(Overview!$A$1="EN",2,11))</f>
        <v>Vienna</v>
      </c>
      <c r="C74" s="103">
        <v>335143513.25</v>
      </c>
      <c r="D74" s="30"/>
      <c r="E74" s="30"/>
      <c r="F74" s="185">
        <f t="shared" ref="F74:F81" si="1">IF(($C$83=0),0,(C74/$C$83))</f>
        <v>7.9846090727040187E-2</v>
      </c>
      <c r="G74" s="209">
        <f t="shared" ref="G74:G81" si="2">IF(($C$69=0),0,(C74/$C$69))</f>
        <v>7.9467437168362631E-2</v>
      </c>
      <c r="H74" s="210"/>
      <c r="I74" s="5"/>
    </row>
    <row r="75" spans="2:9" ht="15" customHeight="1" x14ac:dyDescent="0.25">
      <c r="B75" s="7" t="str">
        <f>INDEX(Language!$D$2:$X$300,SUM(Language!AB75),IF(Overview!$A$1="EN",2,11))</f>
        <v>Lower Austria</v>
      </c>
      <c r="C75" s="103">
        <v>3669070085.7395039</v>
      </c>
      <c r="D75" s="30"/>
      <c r="E75" s="30"/>
      <c r="F75" s="185">
        <f t="shared" si="1"/>
        <v>0.87413568029076427</v>
      </c>
      <c r="G75" s="209">
        <f t="shared" si="2"/>
        <v>0.86999027275615315</v>
      </c>
      <c r="H75" s="210"/>
      <c r="I75" s="5"/>
    </row>
    <row r="76" spans="2:9" ht="15" customHeight="1" x14ac:dyDescent="0.25">
      <c r="B76" s="7" t="str">
        <f>INDEX(Language!$D$2:$X$300,SUM(Language!AB76),IF(Overview!$A$1="EN",2,11))</f>
        <v>Upper Austria</v>
      </c>
      <c r="C76" s="103">
        <v>68286371.549999997</v>
      </c>
      <c r="D76" s="30"/>
      <c r="E76" s="30"/>
      <c r="F76" s="185">
        <f t="shared" si="1"/>
        <v>1.6268850813575087E-2</v>
      </c>
      <c r="G76" s="209">
        <f t="shared" si="2"/>
        <v>1.6191699155928958E-2</v>
      </c>
      <c r="H76" s="210"/>
      <c r="I76" s="5"/>
    </row>
    <row r="77" spans="2:9" ht="15" customHeight="1" x14ac:dyDescent="0.25">
      <c r="B77" s="7" t="str">
        <f>INDEX(Language!$D$2:$X$300,SUM(Language!AB77),IF(Overview!$A$1="EN",2,11))</f>
        <v>Salzburg</v>
      </c>
      <c r="C77" s="103">
        <v>195726.49</v>
      </c>
      <c r="D77" s="30"/>
      <c r="E77" s="30"/>
      <c r="F77" s="185">
        <f t="shared" si="1"/>
        <v>4.6630755065718465E-5</v>
      </c>
      <c r="G77" s="209">
        <f t="shared" si="2"/>
        <v>4.6409618361483107E-5</v>
      </c>
      <c r="H77" s="210"/>
      <c r="I77" s="5"/>
    </row>
    <row r="78" spans="2:9" ht="15" customHeight="1" x14ac:dyDescent="0.25">
      <c r="B78" s="7" t="str">
        <f>INDEX(Language!$D$2:$X$300,SUM(Language!AB78),IF(Overview!$A$1="EN",2,11))</f>
        <v>Tyrol</v>
      </c>
      <c r="C78" s="103">
        <v>17961.13</v>
      </c>
      <c r="D78" s="30"/>
      <c r="E78" s="30"/>
      <c r="F78" s="185">
        <f t="shared" si="1"/>
        <v>4.2791400067181915E-6</v>
      </c>
      <c r="G78" s="209">
        <f t="shared" si="2"/>
        <v>4.2588470709354933E-6</v>
      </c>
      <c r="H78" s="210"/>
      <c r="I78" s="5"/>
    </row>
    <row r="79" spans="2:9" ht="15" customHeight="1" x14ac:dyDescent="0.25">
      <c r="B79" s="7" t="str">
        <f>INDEX(Language!$D$2:$X$300,SUM(Language!AB79),IF(Overview!$A$1="EN",2,11))</f>
        <v>Styria</v>
      </c>
      <c r="C79" s="103">
        <v>38781430.93</v>
      </c>
      <c r="D79" s="30"/>
      <c r="E79" s="30"/>
      <c r="F79" s="185">
        <f t="shared" si="1"/>
        <v>9.2394616936874938E-3</v>
      </c>
      <c r="G79" s="209">
        <f t="shared" si="2"/>
        <v>9.1956454589949312E-3</v>
      </c>
      <c r="H79" s="210"/>
      <c r="I79" s="5"/>
    </row>
    <row r="80" spans="2:9" ht="15" customHeight="1" x14ac:dyDescent="0.25">
      <c r="B80" s="7" t="str">
        <f>INDEX(Language!$D$2:$X$300,SUM(Language!AB80),IF(Overview!$A$1="EN",2,11))</f>
        <v>Carinthia</v>
      </c>
      <c r="C80" s="103">
        <v>40679980.880000003</v>
      </c>
      <c r="D80" s="30"/>
      <c r="E80" s="30"/>
      <c r="F80" s="185">
        <f t="shared" si="1"/>
        <v>9.6917807318436591E-3</v>
      </c>
      <c r="G80" s="209">
        <f t="shared" si="2"/>
        <v>9.6458194677339279E-3</v>
      </c>
      <c r="H80" s="210"/>
      <c r="I80" s="5"/>
    </row>
    <row r="81" spans="1:9" ht="15" customHeight="1" x14ac:dyDescent="0.25">
      <c r="B81" s="7" t="str">
        <f>INDEX(Language!$D$2:$X$300,SUM(Language!AB81),IF(Overview!$A$1="EN",2,11))</f>
        <v>Burgenland</v>
      </c>
      <c r="C81" s="103">
        <v>30336717.41</v>
      </c>
      <c r="D81" s="30"/>
      <c r="E81" s="30"/>
      <c r="F81" s="185">
        <f t="shared" si="1"/>
        <v>7.2275553454395833E-3</v>
      </c>
      <c r="G81" s="209">
        <f t="shared" si="2"/>
        <v>7.1932801601779107E-3</v>
      </c>
      <c r="H81" s="210"/>
      <c r="I81" s="5"/>
    </row>
    <row r="82" spans="1:9" ht="15" customHeight="1" x14ac:dyDescent="0.25">
      <c r="B82" s="7" t="str">
        <f>INDEX(Language!$D$2:$X$300,SUM(Language!AB82),IF(Overview!$A$1="EN",2,11))</f>
        <v>Vorarlberg</v>
      </c>
      <c r="C82" s="103">
        <v>14857303.55962682</v>
      </c>
      <c r="D82" s="30"/>
      <c r="E82" s="30"/>
      <c r="F82" s="185">
        <f>IF(($C$83=0),0,(C82/$C$83))</f>
        <v>3.5396705025772719E-3</v>
      </c>
      <c r="G82" s="209">
        <f>IF(($C$69=0),0,(C82/$C$69))</f>
        <v>3.5228843478620864E-3</v>
      </c>
      <c r="H82" s="210"/>
      <c r="I82" s="5"/>
    </row>
    <row r="83" spans="1:9" ht="15" customHeight="1" x14ac:dyDescent="0.25">
      <c r="B83" s="12" t="str">
        <f>INDEX(Language!$D$2:$X$300,SUM(Language!AB83),IF(Overview!$A$1="EN",2,11))</f>
        <v>Total</v>
      </c>
      <c r="C83" s="171">
        <f>SUM(C73:C82)</f>
        <v>4197369090.9391308</v>
      </c>
      <c r="D83" s="183"/>
      <c r="E83" s="183"/>
      <c r="F83" s="184">
        <f>SUM(F73:F82)</f>
        <v>1</v>
      </c>
      <c r="G83" s="211">
        <f>SUM(G73:H82)</f>
        <v>0.99525770698064608</v>
      </c>
      <c r="H83" s="212"/>
      <c r="I83" s="5"/>
    </row>
    <row r="84" spans="1:9" ht="15" x14ac:dyDescent="0.25">
      <c r="I84" s="5"/>
    </row>
    <row r="85" spans="1:9" s="5" customFormat="1" ht="15.75" thickBot="1" x14ac:dyDescent="0.3">
      <c r="A85" s="58" t="s">
        <v>42</v>
      </c>
      <c r="B85" s="24" t="str">
        <f>INDEX(Language!$D$2:$X$300,SUM(Language!AB85),IF(Overview!$A$1="EN",2,11))</f>
        <v>Distribution by type of borrower/ garantor</v>
      </c>
      <c r="C85" s="25"/>
      <c r="D85" s="25"/>
      <c r="E85" s="25"/>
      <c r="F85" s="24"/>
      <c r="G85" s="25"/>
      <c r="H85" s="25"/>
    </row>
    <row r="86" spans="1:9" ht="15" x14ac:dyDescent="0.25">
      <c r="I86" s="5"/>
    </row>
    <row r="87" spans="1:9" ht="15" customHeight="1" x14ac:dyDescent="0.25">
      <c r="B87" s="32" t="str">
        <f>INDEX(Language!$D$2:$X$300,SUM(Language!AB87),IF(Overview!$A$1="EN",2,11))</f>
        <v>Distribution by type of borrower/ garantor</v>
      </c>
      <c r="C87" s="33"/>
      <c r="D87" s="127"/>
      <c r="E87" s="127"/>
      <c r="F87" s="127" t="str">
        <f>INDEX(Language!$D$2:$X$300,SUM(Language!AF87),IF(Overview!$A$1="EN",6,15))</f>
        <v>volume</v>
      </c>
      <c r="G87" s="215" t="str">
        <f>INDEX(Language!$D$2:$X$300,SUM(Language!AG87),IF(Overview!$A$1="EN",7,16))</f>
        <v>%</v>
      </c>
      <c r="H87" s="216"/>
      <c r="I87" s="5"/>
    </row>
    <row r="88" spans="1:9" ht="15" x14ac:dyDescent="0.25">
      <c r="B88" s="131" t="str">
        <f>INDEX(Language!$D$2:$X$300,SUM(Language!AB88),IF(Overview!$A$1="EN",2,11))</f>
        <v>Direct claim against sovereign</v>
      </c>
      <c r="C88" s="132"/>
      <c r="D88" s="8"/>
      <c r="E88" s="8"/>
      <c r="F88" s="103">
        <v>25309723.27</v>
      </c>
      <c r="G88" s="209">
        <f>IF(($F$95=0),0,(F88/$F$95))</f>
        <v>6.0013061992551372E-3</v>
      </c>
      <c r="H88" s="210"/>
      <c r="I88" s="5"/>
    </row>
    <row r="89" spans="1:9" ht="15" x14ac:dyDescent="0.25">
      <c r="B89" s="131" t="str">
        <f>INDEX(Language!$D$2:$X$300,SUM(Language!AB89),IF(Overview!$A$1="EN",2,11))</f>
        <v>Direct claim against region / federal state</v>
      </c>
      <c r="C89" s="132"/>
      <c r="D89" s="8"/>
      <c r="E89" s="8"/>
      <c r="F89" s="103">
        <v>1328125800.28</v>
      </c>
      <c r="G89" s="209">
        <f t="shared" ref="G89:G94" si="3">IF(($F$95=0),0,(F89/$F$95))</f>
        <v>0.31491808557459011</v>
      </c>
      <c r="H89" s="210"/>
      <c r="I89" s="5"/>
    </row>
    <row r="90" spans="1:9" ht="15" x14ac:dyDescent="0.25">
      <c r="B90" s="131" t="str">
        <f>INDEX(Language!$D$2:$X$300,SUM(Language!AB90),IF(Overview!$A$1="EN",2,11))</f>
        <v>Direct claim against municipality</v>
      </c>
      <c r="C90" s="132"/>
      <c r="D90" s="8"/>
      <c r="E90" s="8"/>
      <c r="F90" s="103">
        <v>426434433.52865374</v>
      </c>
      <c r="G90" s="209">
        <f t="shared" si="3"/>
        <v>0.10111385186675581</v>
      </c>
      <c r="H90" s="210"/>
      <c r="I90" s="5"/>
    </row>
    <row r="91" spans="1:9" ht="15" x14ac:dyDescent="0.25">
      <c r="B91" s="131" t="str">
        <f>INDEX(Language!$D$2:$X$300,SUM(Language!AB91),IF(Overview!$A$1="EN",2,11))</f>
        <v>Claim with guarantee of sovereign</v>
      </c>
      <c r="C91" s="132"/>
      <c r="D91" s="8"/>
      <c r="E91" s="8"/>
      <c r="F91" s="103"/>
      <c r="G91" s="209">
        <f t="shared" si="3"/>
        <v>0</v>
      </c>
      <c r="H91" s="210"/>
      <c r="I91" s="5"/>
    </row>
    <row r="92" spans="1:9" ht="15" x14ac:dyDescent="0.25">
      <c r="B92" s="131" t="str">
        <f>INDEX(Language!$D$2:$X$300,SUM(Language!AB92),IF(Overview!$A$1="EN",2,11))</f>
        <v>Claim with guarantee of region / federal state</v>
      </c>
      <c r="C92" s="132"/>
      <c r="D92" s="8"/>
      <c r="E92" s="8"/>
      <c r="F92" s="103">
        <v>2091223332.7768199</v>
      </c>
      <c r="G92" s="209">
        <f t="shared" si="3"/>
        <v>0.49585969064688706</v>
      </c>
      <c r="H92" s="210"/>
      <c r="I92" s="5"/>
    </row>
    <row r="93" spans="1:9" ht="15" x14ac:dyDescent="0.25">
      <c r="B93" s="131" t="str">
        <f>INDEX(Language!$D$2:$X$300,SUM(Language!AB93),IF(Overview!$A$1="EN",2,11))</f>
        <v>Claim with guarantee of municipality</v>
      </c>
      <c r="C93" s="132"/>
      <c r="D93" s="8"/>
      <c r="E93" s="8"/>
      <c r="F93" s="103">
        <v>207096470.56887576</v>
      </c>
      <c r="G93" s="209">
        <f t="shared" si="3"/>
        <v>4.9105607335581634E-2</v>
      </c>
      <c r="H93" s="210"/>
      <c r="I93" s="5"/>
    </row>
    <row r="94" spans="1:9" ht="15" x14ac:dyDescent="0.25">
      <c r="B94" s="131" t="str">
        <f>INDEX(Language!$D$2:$X$300,SUM(Language!AB94),IF(Overview!$A$1="EN",2,11))</f>
        <v>Others</v>
      </c>
      <c r="C94" s="132"/>
      <c r="D94" s="8"/>
      <c r="E94" s="8"/>
      <c r="F94" s="103">
        <v>139179330.51477998</v>
      </c>
      <c r="G94" s="209">
        <f t="shared" si="3"/>
        <v>3.3001458376930283E-2</v>
      </c>
      <c r="H94" s="210"/>
      <c r="I94" s="5"/>
    </row>
    <row r="95" spans="1:9" ht="15" customHeight="1" x14ac:dyDescent="0.25">
      <c r="B95" s="32" t="str">
        <f>INDEX(Language!$D$2:$X$300,SUM(Language!AB95),IF(Overview!$A$1="EN",2,11))</f>
        <v>Total</v>
      </c>
      <c r="C95" s="33"/>
      <c r="D95" s="23"/>
      <c r="E95" s="23"/>
      <c r="F95" s="171">
        <f>SUM(F88:F94)</f>
        <v>4217369090.9391294</v>
      </c>
      <c r="G95" s="211">
        <f>SUM(G88:H94)</f>
        <v>1.0000000000000002</v>
      </c>
      <c r="H95" s="212"/>
      <c r="I95" s="5"/>
    </row>
    <row r="96" spans="1:9" ht="15" x14ac:dyDescent="0.25">
      <c r="I96" s="5"/>
    </row>
    <row r="97" spans="1:9" s="5" customFormat="1" ht="15.75" thickBot="1" x14ac:dyDescent="0.3">
      <c r="A97" s="59" t="s">
        <v>90</v>
      </c>
      <c r="B97" s="24" t="str">
        <f>INDEX(Language!$D$2:$X$300,SUM(Language!AB97),IF(Overview!$A$1="EN",2,11))</f>
        <v>Seasoning</v>
      </c>
      <c r="C97" s="25"/>
      <c r="D97" s="25"/>
      <c r="E97" s="25"/>
      <c r="F97" s="24"/>
      <c r="G97" s="25"/>
      <c r="H97" s="25"/>
    </row>
    <row r="98" spans="1:9" ht="15" x14ac:dyDescent="0.25">
      <c r="I98" s="5"/>
    </row>
    <row r="99" spans="1:9" ht="15" customHeight="1" x14ac:dyDescent="0.25">
      <c r="B99" s="32" t="str">
        <f>INDEX(Language!$D$2:$X$300,SUM(Language!AB99),IF(Overview!$A$1="EN",2,11))</f>
        <v>WA seasoning (in years)</v>
      </c>
      <c r="C99" s="33"/>
      <c r="D99" s="33"/>
      <c r="E99" s="33"/>
      <c r="F99" s="33"/>
      <c r="G99" s="213">
        <v>6.8068337669999996</v>
      </c>
      <c r="H99" s="214"/>
      <c r="I99" s="5"/>
    </row>
    <row r="100" spans="1:9" ht="15" x14ac:dyDescent="0.25">
      <c r="I100" s="5"/>
    </row>
    <row r="101" spans="1:9" ht="15" x14ac:dyDescent="0.25">
      <c r="B101" s="167" t="s">
        <v>162</v>
      </c>
      <c r="C101" s="168" t="s">
        <v>217</v>
      </c>
      <c r="D101" s="169" t="s">
        <v>41</v>
      </c>
      <c r="I101" s="5"/>
    </row>
    <row r="102" spans="1:9" ht="15" x14ac:dyDescent="0.25">
      <c r="B102" s="102" t="s">
        <v>283</v>
      </c>
      <c r="C102" s="103">
        <v>537820639.5</v>
      </c>
      <c r="D102" s="104">
        <f>IF(($C$107=0),0,(C102/$C$107))</f>
        <v>0.12752515321826793</v>
      </c>
      <c r="F102" s="105"/>
      <c r="G102" s="79"/>
      <c r="H102" s="79"/>
      <c r="I102" s="5"/>
    </row>
    <row r="103" spans="1:9" ht="15" x14ac:dyDescent="0.25">
      <c r="B103" s="102" t="s">
        <v>284</v>
      </c>
      <c r="C103" s="103">
        <v>1030974532.33</v>
      </c>
      <c r="D103" s="104">
        <f>IF(($C$107=0),0,(C103/$C$107))</f>
        <v>0.24445916639001614</v>
      </c>
      <c r="F103" s="105"/>
      <c r="G103" s="79"/>
      <c r="H103" s="79"/>
      <c r="I103" s="5"/>
    </row>
    <row r="104" spans="1:9" ht="15" x14ac:dyDescent="0.25">
      <c r="B104" s="102" t="s">
        <v>285</v>
      </c>
      <c r="C104" s="103">
        <v>266002371.69</v>
      </c>
      <c r="D104" s="104">
        <f>IF(($C$107=0),0,(C104/$C$107))</f>
        <v>6.3073059519854868E-2</v>
      </c>
      <c r="F104" s="105"/>
      <c r="G104" s="79"/>
      <c r="H104" s="79"/>
      <c r="I104" s="5"/>
    </row>
    <row r="105" spans="1:9" ht="15" x14ac:dyDescent="0.25">
      <c r="B105" s="102" t="s">
        <v>286</v>
      </c>
      <c r="C105" s="103">
        <v>1134982694.76</v>
      </c>
      <c r="D105" s="104">
        <f>IF(($C$107=0),0,(C105/$C$107))</f>
        <v>0.26912102552239747</v>
      </c>
      <c r="F105" s="105"/>
      <c r="G105" s="79"/>
      <c r="H105" s="79"/>
      <c r="I105" s="5"/>
    </row>
    <row r="106" spans="1:9" ht="15" x14ac:dyDescent="0.25">
      <c r="B106" s="102" t="s">
        <v>287</v>
      </c>
      <c r="C106" s="103">
        <v>1247588852.6591308</v>
      </c>
      <c r="D106" s="104">
        <f>IF(($C$107=0),0,(C106/$C$107))</f>
        <v>0.29582159534946362</v>
      </c>
      <c r="F106" s="105"/>
      <c r="G106" s="79"/>
      <c r="H106" s="79"/>
      <c r="I106" s="5"/>
    </row>
    <row r="107" spans="1:9" ht="15" x14ac:dyDescent="0.25">
      <c r="B107" s="170" t="s">
        <v>224</v>
      </c>
      <c r="C107" s="171">
        <f>SUM(C102:C106)</f>
        <v>4217369090.9391308</v>
      </c>
      <c r="D107" s="172">
        <f>SUM(D102:D106)</f>
        <v>1</v>
      </c>
      <c r="F107" s="105"/>
      <c r="G107" s="79"/>
      <c r="H107" s="79"/>
      <c r="I107" s="5"/>
    </row>
    <row r="108" spans="1:9" ht="15" x14ac:dyDescent="0.25">
      <c r="I108" s="5"/>
    </row>
    <row r="109" spans="1:9" s="5" customFormat="1" ht="15.75" thickBot="1" x14ac:dyDescent="0.3">
      <c r="A109" s="59" t="s">
        <v>91</v>
      </c>
      <c r="B109" s="24" t="str">
        <f>INDEX(Language!$D$2:$X$300,SUM(Language!AB109),IF(Overview!$A$1="EN",2,11))</f>
        <v>Distribution by tenor</v>
      </c>
      <c r="C109" s="25"/>
      <c r="D109" s="25"/>
      <c r="E109" s="25"/>
      <c r="F109" s="24"/>
      <c r="G109" s="25"/>
      <c r="H109" s="25"/>
    </row>
    <row r="110" spans="1:9" ht="15" x14ac:dyDescent="0.25">
      <c r="I110" s="5"/>
    </row>
    <row r="111" spans="1:9" ht="15" x14ac:dyDescent="0.25">
      <c r="B111" s="12" t="str">
        <f>INDEX(Language!$D$2:$X$300,SUM(Language!AB111),IF(Overview!$A$1="EN",2,11))</f>
        <v>Distribution by tenor</v>
      </c>
      <c r="C111" s="127"/>
      <c r="D111" s="31"/>
      <c r="E111" s="127"/>
      <c r="F111" s="31"/>
      <c r="G111" s="127"/>
      <c r="H111" s="128" t="str">
        <f>INDEX(Language!$D$2:$X$300,SUM(Language!AH111),IF(Overview!$A$1="EN",8,17))</f>
        <v>in years</v>
      </c>
      <c r="I111" s="5"/>
    </row>
    <row r="112" spans="1:9" ht="15" x14ac:dyDescent="0.25">
      <c r="B112" s="207" t="str">
        <f>INDEX(Language!$D$2:$X$300,SUM(Language!AB112),IF(Overview!$A$1="EN",2,11))</f>
        <v>WA residual life (incl. contractural amortisation)</v>
      </c>
      <c r="C112" s="208"/>
      <c r="D112" s="208"/>
      <c r="E112" s="132"/>
      <c r="F112" s="132"/>
      <c r="G112" s="132"/>
      <c r="H112" s="114">
        <v>9.9457626900000005</v>
      </c>
      <c r="I112" s="5"/>
    </row>
    <row r="113" spans="2:9" ht="15" x14ac:dyDescent="0.25">
      <c r="B113" s="205" t="str">
        <f>INDEX(Language!$D$2:$X$300,SUM(Language!AB113),IF(Overview!$A$1="EN",2,11))</f>
        <v>WA residual life (final legal maturity)</v>
      </c>
      <c r="C113" s="206"/>
      <c r="D113" s="206"/>
      <c r="E113" s="132"/>
      <c r="F113" s="132"/>
      <c r="G113" s="132"/>
      <c r="H113" s="114">
        <v>16.228243020000001</v>
      </c>
      <c r="I113" s="5"/>
    </row>
    <row r="114" spans="2:9" ht="15" customHeight="1" x14ac:dyDescent="0.25">
      <c r="B114" s="207" t="str">
        <f>INDEX(Language!$D$2:$X$300,SUM(Language!AB114),IF(Overview!$A$1="EN",2,11))</f>
        <v>WA residual life of issues (final legal maturity)</v>
      </c>
      <c r="C114" s="208"/>
      <c r="D114" s="208"/>
      <c r="E114" s="130"/>
      <c r="F114" s="130"/>
      <c r="G114" s="130"/>
      <c r="H114" s="114">
        <v>5.6544783000000001</v>
      </c>
      <c r="I114" s="5"/>
    </row>
    <row r="115" spans="2:9" ht="15" x14ac:dyDescent="0.25">
      <c r="I115" s="5"/>
    </row>
    <row r="116" spans="2:9" ht="15" x14ac:dyDescent="0.25">
      <c r="B116" s="2" t="str">
        <f>INDEX(Language!$D$2:$X$300,SUM(Language!AB116),IF(Overview!$A$1="EN",2,11))</f>
        <v>Distribution by tenor (final legal maturity)</v>
      </c>
      <c r="I116" s="5"/>
    </row>
    <row r="117" spans="2:9" ht="15" x14ac:dyDescent="0.25">
      <c r="B117" s="13" t="str">
        <f>INDEX(Language!$D$2:$X$300,SUM(Language!AB117),IF(Overview!$A$1="EN",2,11))</f>
        <v>Primary cover pool</v>
      </c>
      <c r="C117" s="17" t="str">
        <f>INDEX(Language!$D$2:$X$300,SUM(Language!AC117),IF(Overview!$A$1="EN",3,12))</f>
        <v>volume</v>
      </c>
      <c r="D117" s="14" t="str">
        <f>INDEX(Language!$D$2:$X$300,SUM(Language!AD117),IF(Overview!$A$1="EN",4,13))</f>
        <v>%</v>
      </c>
      <c r="F117" s="13" t="str">
        <f>INDEX(Language!$D$2:$X$300,SUM(Language!AF117),IF(Overview!$A$1="EN",6,15))</f>
        <v>Issues</v>
      </c>
      <c r="G117" s="17" t="str">
        <f>INDEX(Language!$D$2:$X$300,SUM(Language!AG117),IF(Overview!$A$1="EN",7,16))</f>
        <v>volume</v>
      </c>
      <c r="H117" s="14" t="str">
        <f>INDEX(Language!$D$2:$X$300,SUM(Language!AH117),IF(Overview!$A$1="EN",8,17))</f>
        <v>%</v>
      </c>
      <c r="I117" s="5"/>
    </row>
    <row r="118" spans="2:9" ht="15" x14ac:dyDescent="0.25">
      <c r="B118" s="7" t="str">
        <f>INDEX(Language!$D$2:$X$300,SUM(Language!AB118),IF(Overview!$A$1="EN",2,11))</f>
        <v>≤ 12 months</v>
      </c>
      <c r="C118" s="103">
        <v>105415666.76000001</v>
      </c>
      <c r="D118" s="104">
        <f>IF(($C$123=0),0,(C118/$C$123))</f>
        <v>2.4995599030324823E-2</v>
      </c>
      <c r="F118" s="7" t="str">
        <f>INDEX(Language!$D$2:$X$300,SUM(Language!AF118),IF(Overview!$A$1="EN",6,15))</f>
        <v>≤ 12 months</v>
      </c>
      <c r="G118" s="103">
        <v>535000000</v>
      </c>
      <c r="H118" s="104">
        <f>IF(($G$123=0),0,(G118/$G$123))</f>
        <v>0.14318146520846758</v>
      </c>
      <c r="I118" s="5"/>
    </row>
    <row r="119" spans="2:9" ht="15" x14ac:dyDescent="0.25">
      <c r="B119" s="7" t="str">
        <f>INDEX(Language!$D$2:$X$300,SUM(Language!AB119),IF(Overview!$A$1="EN",2,11))</f>
        <v>12 - 36 months</v>
      </c>
      <c r="C119" s="103">
        <v>203355804.75104865</v>
      </c>
      <c r="D119" s="104">
        <f>IF(($C$123=0),0,(C119/$C$123))</f>
        <v>4.8218640665800741E-2</v>
      </c>
      <c r="F119" s="7" t="str">
        <f>INDEX(Language!$D$2:$X$300,SUM(Language!AF119),IF(Overview!$A$1="EN",6,15))</f>
        <v>12 - 36 months</v>
      </c>
      <c r="G119" s="103">
        <v>632932113.51999998</v>
      </c>
      <c r="H119" s="104">
        <f>IF(($G$123=0),0,(G119/$G$123))</f>
        <v>0.1693909297033378</v>
      </c>
      <c r="I119" s="5"/>
    </row>
    <row r="120" spans="2:9" ht="15" x14ac:dyDescent="0.25">
      <c r="B120" s="7" t="str">
        <f>INDEX(Language!$D$2:$X$300,SUM(Language!AB120),IF(Overview!$A$1="EN",2,11))</f>
        <v>36 - 60 months</v>
      </c>
      <c r="C120" s="103">
        <v>232419787.13122812</v>
      </c>
      <c r="D120" s="104">
        <f>IF(($C$123=0),0,(C120/$C$123))</f>
        <v>5.5110136703608391E-2</v>
      </c>
      <c r="F120" s="7" t="str">
        <f>INDEX(Language!$D$2:$X$300,SUM(Language!AF120),IF(Overview!$A$1="EN",6,15))</f>
        <v>36 - 60 months</v>
      </c>
      <c r="G120" s="103">
        <v>550150000</v>
      </c>
      <c r="H120" s="104">
        <f>IF(($G$123=0),0,(G120/$G$123))</f>
        <v>0.14723604314848307</v>
      </c>
      <c r="I120" s="5"/>
    </row>
    <row r="121" spans="2:9" ht="15" x14ac:dyDescent="0.25">
      <c r="B121" s="7" t="str">
        <f>INDEX(Language!$D$2:$X$300,SUM(Language!AB121),IF(Overview!$A$1="EN",2,11))</f>
        <v>60 - 120 months</v>
      </c>
      <c r="C121" s="103">
        <v>606009903.65999997</v>
      </c>
      <c r="D121" s="104">
        <f>IF(($C$123=0),0,(C121/$C$123))</f>
        <v>0.14369382678931067</v>
      </c>
      <c r="F121" s="7" t="str">
        <f>INDEX(Language!$D$2:$X$300,SUM(Language!AF121),IF(Overview!$A$1="EN",6,15))</f>
        <v>60 - 120 months</v>
      </c>
      <c r="G121" s="103">
        <v>1555000000</v>
      </c>
      <c r="H121" s="104">
        <f>IF(($G$123=0),0,(G121/$G$123))</f>
        <v>0.41616295027881695</v>
      </c>
      <c r="I121" s="5"/>
    </row>
    <row r="122" spans="2:9" ht="15" x14ac:dyDescent="0.25">
      <c r="B122" s="7" t="str">
        <f>INDEX(Language!$D$2:$X$300,SUM(Language!AB122),IF(Overview!$A$1="EN",2,11))</f>
        <v>≥ 120 months</v>
      </c>
      <c r="C122" s="103">
        <v>3070167928.6368537</v>
      </c>
      <c r="D122" s="104">
        <f>IF(($C$123=0),0,(C122/$C$123))</f>
        <v>0.72798179681095543</v>
      </c>
      <c r="F122" s="7" t="str">
        <f>INDEX(Language!$D$2:$X$300,SUM(Language!AF122),IF(Overview!$A$1="EN",6,15))</f>
        <v>≥ 120 months</v>
      </c>
      <c r="G122" s="103">
        <v>463435034.29000002</v>
      </c>
      <c r="H122" s="104">
        <f>IF(($G$123=0),0,(G122/$G$123))</f>
        <v>0.12402861166089461</v>
      </c>
      <c r="I122" s="5"/>
    </row>
    <row r="123" spans="2:9" ht="15" x14ac:dyDescent="0.25">
      <c r="B123" s="12" t="str">
        <f>INDEX(Language!$D$2:$X$300,SUM(Language!AB123),IF(Overview!$A$1="EN",2,11))</f>
        <v>Total</v>
      </c>
      <c r="C123" s="171">
        <f>SUM(C118:C122)</f>
        <v>4217369090.9391303</v>
      </c>
      <c r="D123" s="172">
        <f>SUM(D118:D122)</f>
        <v>1</v>
      </c>
      <c r="F123" s="12" t="str">
        <f>INDEX(Language!$D$2:$X$300,SUM(Language!AF123),IF(Overview!$A$1="EN",6,15))</f>
        <v>Total</v>
      </c>
      <c r="G123" s="171">
        <f>SUM(G118:G122)</f>
        <v>3736517147.8099999</v>
      </c>
      <c r="H123" s="172">
        <f>SUM(H118:H122)</f>
        <v>1</v>
      </c>
      <c r="I123" s="5"/>
    </row>
    <row r="124" spans="2:9" ht="15" x14ac:dyDescent="0.25">
      <c r="C124" s="2"/>
      <c r="D124" s="2"/>
      <c r="E124" s="2"/>
      <c r="G124" s="2"/>
      <c r="H124" s="2"/>
      <c r="I124" s="5"/>
    </row>
    <row r="125" spans="2:9" ht="15" x14ac:dyDescent="0.25">
      <c r="C125" s="2"/>
      <c r="D125" s="2"/>
      <c r="E125" s="2"/>
      <c r="G125" s="2"/>
      <c r="H125" s="2"/>
      <c r="I125" s="5"/>
    </row>
    <row r="126" spans="2:9" ht="15" x14ac:dyDescent="0.25">
      <c r="C126" s="2"/>
      <c r="D126" s="2"/>
      <c r="E126" s="2"/>
      <c r="G126" s="2"/>
      <c r="H126" s="2"/>
      <c r="I126" s="5"/>
    </row>
    <row r="127" spans="2:9" ht="15" x14ac:dyDescent="0.25">
      <c r="C127" s="2"/>
      <c r="D127" s="2"/>
      <c r="E127" s="2"/>
      <c r="G127" s="2"/>
      <c r="H127" s="2"/>
      <c r="I127" s="5"/>
    </row>
    <row r="128" spans="2:9" ht="15" x14ac:dyDescent="0.25">
      <c r="C128" s="2"/>
      <c r="D128" s="2"/>
      <c r="E128" s="2"/>
      <c r="G128" s="2"/>
      <c r="H128" s="2"/>
      <c r="I128" s="5"/>
    </row>
    <row r="129" spans="1:9" ht="15" x14ac:dyDescent="0.25">
      <c r="C129" s="2"/>
      <c r="D129" s="2"/>
      <c r="E129" s="2"/>
      <c r="G129" s="2"/>
      <c r="H129" s="2"/>
      <c r="I129" s="5"/>
    </row>
    <row r="130" spans="1:9" ht="15" x14ac:dyDescent="0.25">
      <c r="C130" s="2"/>
      <c r="D130" s="2"/>
      <c r="E130" s="2"/>
      <c r="G130" s="2"/>
      <c r="H130" s="2"/>
      <c r="I130" s="5"/>
    </row>
    <row r="131" spans="1:9" ht="15" x14ac:dyDescent="0.25">
      <c r="C131" s="2"/>
      <c r="D131" s="2"/>
      <c r="E131" s="2"/>
      <c r="G131" s="2"/>
      <c r="H131" s="2"/>
      <c r="I131" s="5"/>
    </row>
    <row r="132" spans="1:9" ht="15" x14ac:dyDescent="0.25">
      <c r="C132" s="2"/>
      <c r="D132" s="2"/>
      <c r="E132" s="2"/>
      <c r="G132" s="2"/>
      <c r="H132" s="2"/>
      <c r="I132" s="5"/>
    </row>
    <row r="133" spans="1:9" ht="15" x14ac:dyDescent="0.25">
      <c r="C133" s="2"/>
      <c r="D133" s="2"/>
      <c r="E133" s="2"/>
      <c r="G133" s="2"/>
      <c r="H133" s="2"/>
      <c r="I133" s="5"/>
    </row>
    <row r="134" spans="1:9" ht="15" x14ac:dyDescent="0.25">
      <c r="C134" s="2"/>
      <c r="D134" s="2"/>
      <c r="E134" s="2"/>
      <c r="G134" s="2"/>
      <c r="H134" s="2"/>
      <c r="I134" s="5"/>
    </row>
    <row r="135" spans="1:9" ht="15" x14ac:dyDescent="0.25">
      <c r="C135" s="2"/>
      <c r="D135" s="2"/>
      <c r="E135" s="2"/>
      <c r="G135" s="2"/>
      <c r="H135" s="2"/>
      <c r="I135" s="5"/>
    </row>
    <row r="136" spans="1:9" ht="15" x14ac:dyDescent="0.25">
      <c r="C136" s="2"/>
      <c r="D136" s="2"/>
      <c r="E136" s="2"/>
      <c r="G136" s="2"/>
      <c r="H136" s="2"/>
      <c r="I136" s="5"/>
    </row>
    <row r="137" spans="1:9" ht="15" x14ac:dyDescent="0.25">
      <c r="I137" s="5"/>
    </row>
    <row r="138" spans="1:9" s="5" customFormat="1" ht="15" x14ac:dyDescent="0.25">
      <c r="A138" s="2"/>
      <c r="B138" s="2"/>
      <c r="C138" s="4"/>
      <c r="D138" s="4"/>
      <c r="E138" s="4"/>
      <c r="F138" s="2"/>
      <c r="G138" s="4"/>
      <c r="H138" s="4"/>
    </row>
    <row r="139" spans="1:9" ht="15.75" thickBot="1" x14ac:dyDescent="0.3">
      <c r="A139" s="59" t="s">
        <v>301</v>
      </c>
      <c r="B139" s="24" t="str">
        <f>INDEX(Language!$D$2:$X$300,SUM(Language!AB139),IF(Overview!$A$1="EN",2,11))</f>
        <v>Distribution by type of interest after cover pool IR derivatives</v>
      </c>
      <c r="C139" s="25"/>
      <c r="D139" s="25"/>
      <c r="E139" s="25"/>
      <c r="F139" s="24"/>
      <c r="G139" s="25"/>
      <c r="H139" s="25"/>
      <c r="I139" s="5"/>
    </row>
    <row r="140" spans="1:9" ht="15" x14ac:dyDescent="0.25">
      <c r="I140" s="5"/>
    </row>
    <row r="141" spans="1:9" ht="15" x14ac:dyDescent="0.25">
      <c r="B141" s="12" t="str">
        <f>INDEX(Language!$D$2:$X$300,SUM(Language!AB141),IF(Overview!$A$1="EN",2,11))</f>
        <v>IR derivatives</v>
      </c>
      <c r="C141" s="17"/>
      <c r="D141" s="128" t="str">
        <f>IF(INDEX(Language!$D$2:$X$300,SUM(Language!AD141),IF(Overview!$A$1="EN",4,13))=0,"",INDEX(Language!$D$2:$X$300,SUM(Language!AD141),IF(Overview!$A$1="EN",4,13)))</f>
        <v/>
      </c>
      <c r="I141" s="5"/>
    </row>
    <row r="142" spans="1:9" ht="15" x14ac:dyDescent="0.25">
      <c r="B142" s="7" t="str">
        <f>INDEX(Language!$D$2:$X$300,SUM(Language!AB142),IF(Overview!$A$1="EN",2,11))</f>
        <v>IR derivatives in cover pool</v>
      </c>
      <c r="C142" s="8"/>
      <c r="D142" s="9" t="s">
        <v>318</v>
      </c>
      <c r="I142" s="5"/>
    </row>
    <row r="143" spans="1:9" ht="15" x14ac:dyDescent="0.25">
      <c r="I143" s="5"/>
    </row>
    <row r="144" spans="1:9" ht="15" x14ac:dyDescent="0.25">
      <c r="B144" s="12" t="str">
        <f>INDEX(Language!$D$2:$X$300,SUM(Language!AB144),IF(Overview!$A$1="EN",2,11))</f>
        <v>Primary cover pool</v>
      </c>
      <c r="C144" s="17"/>
      <c r="D144" s="128" t="str">
        <f>INDEX(Language!$D$2:$X$300,SUM(Language!AD144),IF(Overview!$A$1="EN",4,13))</f>
        <v>volume</v>
      </c>
      <c r="F144" s="12" t="str">
        <f>INDEX(Language!$D$2:$X$300,SUM(Language!AF144),IF(Overview!$A$1="EN",6,15))</f>
        <v>Issues</v>
      </c>
      <c r="G144" s="17"/>
      <c r="H144" s="128" t="str">
        <f>INDEX(Language!$D$2:$X$300,SUM(Language!AH144),IF(Overview!$A$1="EN",8,17))</f>
        <v>volume</v>
      </c>
      <c r="I144" s="5"/>
    </row>
    <row r="145" spans="2:9" ht="15" x14ac:dyDescent="0.25">
      <c r="B145" s="7" t="str">
        <f>INDEX(Language!$D$2:$X$300,SUM(Language!AB145),IF(Overview!$A$1="EN",2,11))</f>
        <v>Variable, fixed rate during the year</v>
      </c>
      <c r="C145" s="8"/>
      <c r="D145" s="158">
        <v>2084663052.4743505</v>
      </c>
      <c r="F145" s="7" t="str">
        <f>INDEX(Language!$D$2:$X$300,SUM(Language!AF145),IF(Overview!$A$1="EN",6,15))</f>
        <v>Variable, fixed rate during the year</v>
      </c>
      <c r="G145" s="8"/>
      <c r="H145" s="158">
        <v>557650000</v>
      </c>
      <c r="I145" s="5"/>
    </row>
    <row r="146" spans="2:9" ht="15" x14ac:dyDescent="0.25">
      <c r="B146" s="7" t="str">
        <f>INDEX(Language!$D$2:$X$300,SUM(Language!AB146),IF(Overview!$A$1="EN",2,11))</f>
        <v>Fixed rate, 1 - 2 years</v>
      </c>
      <c r="C146" s="8"/>
      <c r="D146" s="158">
        <v>25864254.98</v>
      </c>
      <c r="F146" s="7" t="str">
        <f>INDEX(Language!$D$2:$X$300,SUM(Language!AF146),IF(Overview!$A$1="EN",6,15))</f>
        <v>Fixed rate, 1 - 2 years</v>
      </c>
      <c r="G146" s="8"/>
      <c r="H146" s="158">
        <v>94932113.519999996</v>
      </c>
      <c r="I146" s="5"/>
    </row>
    <row r="147" spans="2:9" ht="15" x14ac:dyDescent="0.25">
      <c r="B147" s="7" t="str">
        <f>INDEX(Language!$D$2:$X$300,SUM(Language!AB147),IF(Overview!$A$1="EN",2,11))</f>
        <v>Fixed rate, 2 - 5 years</v>
      </c>
      <c r="C147" s="8"/>
      <c r="D147" s="158">
        <v>199276312.34478033</v>
      </c>
      <c r="F147" s="7" t="str">
        <f>INDEX(Language!$D$2:$X$300,SUM(Language!AF147),IF(Overview!$A$1="EN",6,15))</f>
        <v>Fixed rate, 2 - 5 years</v>
      </c>
      <c r="G147" s="8"/>
      <c r="H147" s="158">
        <v>1085500000</v>
      </c>
      <c r="I147" s="5"/>
    </row>
    <row r="148" spans="2:9" ht="15" x14ac:dyDescent="0.25">
      <c r="B148" s="7" t="str">
        <f>INDEX(Language!$D$2:$X$300,SUM(Language!AB148),IF(Overview!$A$1="EN",2,11))</f>
        <v>Fixed rate, &gt; 5 years</v>
      </c>
      <c r="C148" s="8"/>
      <c r="D148" s="158">
        <v>1907565471.1400001</v>
      </c>
      <c r="F148" s="7" t="str">
        <f>INDEX(Language!$D$2:$X$300,SUM(Language!AF148),IF(Overview!$A$1="EN",6,15))</f>
        <v>Fixed rate, &gt; 5 years</v>
      </c>
      <c r="G148" s="8"/>
      <c r="H148" s="158">
        <v>1998435034.29</v>
      </c>
      <c r="I148" s="5"/>
    </row>
    <row r="149" spans="2:9" ht="15" x14ac:dyDescent="0.25">
      <c r="B149" s="12" t="str">
        <f>INDEX(Language!$D$2:$X$300,SUM(Language!AB149),IF(Overview!$A$1="EN",2,11))</f>
        <v>Total</v>
      </c>
      <c r="C149" s="23"/>
      <c r="D149" s="186">
        <f>SUM(D145:D148)</f>
        <v>4217369090.9391308</v>
      </c>
      <c r="F149" s="12" t="str">
        <f>INDEX(Language!$D$2:$X$300,SUM(Language!AF149),IF(Overview!$A$1="EN",6,15))</f>
        <v>Total</v>
      </c>
      <c r="G149" s="23"/>
      <c r="H149" s="186">
        <f>SUM(H145:H148)</f>
        <v>3736517147.8099999</v>
      </c>
      <c r="I149" s="5"/>
    </row>
    <row r="150" spans="2:9" ht="15" x14ac:dyDescent="0.25">
      <c r="I150" s="5"/>
    </row>
    <row r="151" spans="2:9" ht="15" x14ac:dyDescent="0.25">
      <c r="I151" s="5"/>
    </row>
    <row r="152" spans="2:9" ht="15" x14ac:dyDescent="0.25">
      <c r="I152" s="5"/>
    </row>
    <row r="153" spans="2:9" ht="15" x14ac:dyDescent="0.25">
      <c r="I153" s="5"/>
    </row>
    <row r="154" spans="2:9" ht="15" x14ac:dyDescent="0.25">
      <c r="I154" s="5"/>
    </row>
    <row r="155" spans="2:9" ht="15" x14ac:dyDescent="0.25">
      <c r="I155" s="5"/>
    </row>
    <row r="156" spans="2:9" ht="15" x14ac:dyDescent="0.25">
      <c r="I156" s="5"/>
    </row>
    <row r="157" spans="2:9" ht="15" x14ac:dyDescent="0.25">
      <c r="I157" s="5"/>
    </row>
    <row r="158" spans="2:9" ht="15" x14ac:dyDescent="0.25">
      <c r="I158" s="5"/>
    </row>
    <row r="159" spans="2:9" ht="15" x14ac:dyDescent="0.25">
      <c r="I159" s="5"/>
    </row>
    <row r="160" spans="2:9" ht="15" x14ac:dyDescent="0.25">
      <c r="I160" s="5"/>
    </row>
    <row r="161" spans="9:9" ht="15" x14ac:dyDescent="0.25">
      <c r="I161" s="5"/>
    </row>
    <row r="162" spans="9:9" ht="15" x14ac:dyDescent="0.25">
      <c r="I162" s="5"/>
    </row>
    <row r="163" spans="9:9" ht="15" x14ac:dyDescent="0.25">
      <c r="I163" s="5"/>
    </row>
    <row r="164" spans="9:9" ht="15" x14ac:dyDescent="0.25">
      <c r="I164" s="5"/>
    </row>
    <row r="165" spans="9:9" ht="15" x14ac:dyDescent="0.25">
      <c r="I165" s="5"/>
    </row>
    <row r="166" spans="9:9" ht="15" x14ac:dyDescent="0.25">
      <c r="I166" s="5"/>
    </row>
    <row r="167" spans="9:9" ht="15" x14ac:dyDescent="0.25">
      <c r="I167" s="5"/>
    </row>
    <row r="168" spans="9:9" ht="15" x14ac:dyDescent="0.25">
      <c r="I168" s="5"/>
    </row>
    <row r="169" spans="9:9" ht="15" x14ac:dyDescent="0.25">
      <c r="I169" s="5"/>
    </row>
    <row r="170" spans="9:9" ht="15" x14ac:dyDescent="0.25">
      <c r="I170" s="5"/>
    </row>
    <row r="171" spans="9:9" ht="15" x14ac:dyDescent="0.25">
      <c r="I171" s="5"/>
    </row>
    <row r="172" spans="9:9" ht="15" x14ac:dyDescent="0.25">
      <c r="I172" s="5"/>
    </row>
    <row r="173" spans="9:9" ht="15" x14ac:dyDescent="0.25">
      <c r="I173" s="5"/>
    </row>
    <row r="174" spans="9:9" ht="15" x14ac:dyDescent="0.25">
      <c r="I174" s="5"/>
    </row>
    <row r="175" spans="9:9" ht="15" x14ac:dyDescent="0.25">
      <c r="I175" s="5"/>
    </row>
    <row r="176" spans="9:9" ht="15" x14ac:dyDescent="0.25">
      <c r="I176" s="5"/>
    </row>
    <row r="177" spans="9:9" ht="15" x14ac:dyDescent="0.25">
      <c r="I177" s="5"/>
    </row>
    <row r="178" spans="9:9" ht="15" x14ac:dyDescent="0.25">
      <c r="I178" s="5"/>
    </row>
    <row r="179" spans="9:9" ht="15" x14ac:dyDescent="0.25">
      <c r="I179" s="5"/>
    </row>
    <row r="180" spans="9:9" ht="15" x14ac:dyDescent="0.25">
      <c r="I180" s="5"/>
    </row>
    <row r="181" spans="9:9" ht="15" x14ac:dyDescent="0.25">
      <c r="I181" s="5"/>
    </row>
    <row r="182" spans="9:9" ht="15" x14ac:dyDescent="0.25">
      <c r="I182" s="5"/>
    </row>
    <row r="183" spans="9:9" ht="15" x14ac:dyDescent="0.25">
      <c r="I183" s="5"/>
    </row>
    <row r="184" spans="9:9" ht="15" x14ac:dyDescent="0.25">
      <c r="I184" s="5"/>
    </row>
    <row r="185" spans="9:9" ht="15" x14ac:dyDescent="0.25">
      <c r="I185" s="5"/>
    </row>
    <row r="186" spans="9:9" ht="15" x14ac:dyDescent="0.25">
      <c r="I186" s="5"/>
    </row>
    <row r="187" spans="9:9" ht="15" x14ac:dyDescent="0.25">
      <c r="I187" s="5"/>
    </row>
    <row r="188" spans="9:9" ht="15" x14ac:dyDescent="0.25">
      <c r="I188" s="5"/>
    </row>
    <row r="189" spans="9:9" ht="15" x14ac:dyDescent="0.25">
      <c r="I189" s="5"/>
    </row>
    <row r="190" spans="9:9" ht="15" x14ac:dyDescent="0.25">
      <c r="I190" s="5"/>
    </row>
    <row r="191" spans="9:9" ht="15" x14ac:dyDescent="0.25">
      <c r="I191" s="5"/>
    </row>
    <row r="192" spans="9:9" ht="15" x14ac:dyDescent="0.25">
      <c r="I192" s="5"/>
    </row>
    <row r="193" spans="9:9" ht="15" x14ac:dyDescent="0.25">
      <c r="I193" s="5"/>
    </row>
    <row r="194" spans="9:9" ht="15" x14ac:dyDescent="0.25">
      <c r="I194" s="5"/>
    </row>
    <row r="195" spans="9:9" ht="15" x14ac:dyDescent="0.25">
      <c r="I195" s="5"/>
    </row>
    <row r="196" spans="9:9" ht="15" x14ac:dyDescent="0.25">
      <c r="I196" s="5"/>
    </row>
    <row r="197" spans="9:9" ht="15" x14ac:dyDescent="0.25">
      <c r="I197" s="5"/>
    </row>
    <row r="198" spans="9:9" ht="15" x14ac:dyDescent="0.25">
      <c r="I198" s="5"/>
    </row>
    <row r="199" spans="9:9" ht="15" x14ac:dyDescent="0.25">
      <c r="I199" s="5"/>
    </row>
    <row r="200" spans="9:9" ht="15" x14ac:dyDescent="0.25">
      <c r="I200" s="5"/>
    </row>
    <row r="201" spans="9:9" ht="15" x14ac:dyDescent="0.25">
      <c r="I201" s="5"/>
    </row>
    <row r="202" spans="9:9" ht="15" x14ac:dyDescent="0.25">
      <c r="I202" s="5"/>
    </row>
    <row r="203" spans="9:9" ht="15" x14ac:dyDescent="0.25">
      <c r="I203" s="5"/>
    </row>
    <row r="204" spans="9:9" ht="15" x14ac:dyDescent="0.25">
      <c r="I204" s="5"/>
    </row>
    <row r="205" spans="9:9" ht="15" x14ac:dyDescent="0.25">
      <c r="I205" s="5"/>
    </row>
    <row r="206" spans="9:9" ht="15" x14ac:dyDescent="0.25">
      <c r="I206" s="5"/>
    </row>
    <row r="207" spans="9:9" ht="15" x14ac:dyDescent="0.25">
      <c r="I207" s="5"/>
    </row>
    <row r="208" spans="9:9" ht="15" x14ac:dyDescent="0.25">
      <c r="I208" s="5"/>
    </row>
    <row r="209" spans="9:9" ht="15" x14ac:dyDescent="0.25">
      <c r="I209" s="5"/>
    </row>
    <row r="210" spans="9:9" ht="15" x14ac:dyDescent="0.25">
      <c r="I210" s="5"/>
    </row>
    <row r="211" spans="9:9" ht="15" x14ac:dyDescent="0.25">
      <c r="I211" s="5"/>
    </row>
    <row r="212" spans="9:9" ht="15" x14ac:dyDescent="0.25">
      <c r="I212" s="5"/>
    </row>
    <row r="213" spans="9:9" ht="15" x14ac:dyDescent="0.25">
      <c r="I213" s="5"/>
    </row>
    <row r="214" spans="9:9" ht="15" x14ac:dyDescent="0.25">
      <c r="I214" s="5"/>
    </row>
    <row r="215" spans="9:9" ht="15" x14ac:dyDescent="0.25">
      <c r="I215" s="5"/>
    </row>
    <row r="216" spans="9:9" ht="15" x14ac:dyDescent="0.25">
      <c r="I216" s="5"/>
    </row>
    <row r="217" spans="9:9" ht="15" x14ac:dyDescent="0.25">
      <c r="I217" s="5"/>
    </row>
    <row r="218" spans="9:9" ht="15" x14ac:dyDescent="0.25">
      <c r="I218" s="5"/>
    </row>
    <row r="219" spans="9:9" ht="15" x14ac:dyDescent="0.25">
      <c r="I219" s="5"/>
    </row>
    <row r="220" spans="9:9" ht="15" x14ac:dyDescent="0.25">
      <c r="I220" s="5"/>
    </row>
    <row r="221" spans="9:9" ht="15" x14ac:dyDescent="0.25">
      <c r="I221" s="5"/>
    </row>
    <row r="222" spans="9:9" ht="15" x14ac:dyDescent="0.25">
      <c r="I222" s="5"/>
    </row>
    <row r="223" spans="9:9" ht="15" x14ac:dyDescent="0.25">
      <c r="I223" s="5"/>
    </row>
    <row r="224" spans="9:9" ht="15" x14ac:dyDescent="0.25">
      <c r="I224" s="5"/>
    </row>
    <row r="225" spans="9:9" ht="15" x14ac:dyDescent="0.25">
      <c r="I225" s="5"/>
    </row>
    <row r="226" spans="9:9" ht="15" x14ac:dyDescent="0.25">
      <c r="I226" s="5"/>
    </row>
    <row r="227" spans="9:9" ht="15" x14ac:dyDescent="0.25">
      <c r="I227" s="5"/>
    </row>
    <row r="228" spans="9:9" ht="15" x14ac:dyDescent="0.25">
      <c r="I228" s="5"/>
    </row>
    <row r="229" spans="9:9" ht="15" x14ac:dyDescent="0.25">
      <c r="I229" s="5"/>
    </row>
    <row r="230" spans="9:9" ht="15" x14ac:dyDescent="0.25">
      <c r="I230" s="5"/>
    </row>
    <row r="231" spans="9:9" ht="15" x14ac:dyDescent="0.25">
      <c r="I231" s="5"/>
    </row>
    <row r="232" spans="9:9" ht="15" x14ac:dyDescent="0.25">
      <c r="I232" s="5"/>
    </row>
    <row r="233" spans="9:9" ht="15" x14ac:dyDescent="0.25">
      <c r="I233" s="5"/>
    </row>
    <row r="234" spans="9:9" ht="15" x14ac:dyDescent="0.25">
      <c r="I234" s="5"/>
    </row>
    <row r="235" spans="9:9" ht="15" x14ac:dyDescent="0.25">
      <c r="I235" s="5"/>
    </row>
    <row r="236" spans="9:9" ht="15" x14ac:dyDescent="0.25">
      <c r="I236" s="5"/>
    </row>
    <row r="237" spans="9:9" ht="15" x14ac:dyDescent="0.25">
      <c r="I237" s="5"/>
    </row>
    <row r="238" spans="9:9" ht="15" x14ac:dyDescent="0.25">
      <c r="I238" s="5"/>
    </row>
    <row r="239" spans="9:9" ht="15" x14ac:dyDescent="0.25">
      <c r="I239" s="5"/>
    </row>
    <row r="240" spans="9:9" ht="15" x14ac:dyDescent="0.25">
      <c r="I240" s="5"/>
    </row>
    <row r="241" spans="9:9" ht="15" x14ac:dyDescent="0.25">
      <c r="I241" s="5"/>
    </row>
    <row r="242" spans="9:9" ht="15" x14ac:dyDescent="0.25">
      <c r="I242" s="5"/>
    </row>
    <row r="243" spans="9:9" ht="15" x14ac:dyDescent="0.25">
      <c r="I243" s="5"/>
    </row>
    <row r="244" spans="9:9" ht="15" x14ac:dyDescent="0.25">
      <c r="I244" s="5"/>
    </row>
    <row r="245" spans="9:9" ht="15" x14ac:dyDescent="0.25">
      <c r="I245" s="5"/>
    </row>
    <row r="246" spans="9:9" ht="15" x14ac:dyDescent="0.25">
      <c r="I246" s="5"/>
    </row>
    <row r="247" spans="9:9" ht="15" x14ac:dyDescent="0.25">
      <c r="I247" s="5"/>
    </row>
    <row r="248" spans="9:9" ht="15" x14ac:dyDescent="0.25">
      <c r="I248" s="5"/>
    </row>
    <row r="249" spans="9:9" ht="15" x14ac:dyDescent="0.25">
      <c r="I249" s="5"/>
    </row>
    <row r="250" spans="9:9" ht="15" x14ac:dyDescent="0.25">
      <c r="I250" s="5"/>
    </row>
    <row r="251" spans="9:9" ht="15" x14ac:dyDescent="0.25">
      <c r="I251" s="5"/>
    </row>
    <row r="252" spans="9:9" ht="15" x14ac:dyDescent="0.25">
      <c r="I252" s="5"/>
    </row>
    <row r="253" spans="9:9" ht="15" x14ac:dyDescent="0.25">
      <c r="I253" s="5"/>
    </row>
    <row r="254" spans="9:9" ht="15" x14ac:dyDescent="0.25">
      <c r="I254" s="5"/>
    </row>
    <row r="255" spans="9:9" ht="15" x14ac:dyDescent="0.25">
      <c r="I255" s="5"/>
    </row>
    <row r="256" spans="9:9" ht="15" x14ac:dyDescent="0.25">
      <c r="I256" s="5"/>
    </row>
    <row r="257" spans="9:9" ht="15" x14ac:dyDescent="0.25">
      <c r="I257" s="5"/>
    </row>
    <row r="258" spans="9:9" ht="15" x14ac:dyDescent="0.25">
      <c r="I258" s="5"/>
    </row>
    <row r="259" spans="9:9" ht="15" x14ac:dyDescent="0.25">
      <c r="I259" s="5"/>
    </row>
    <row r="260" spans="9:9" ht="15" x14ac:dyDescent="0.25">
      <c r="I260" s="5"/>
    </row>
    <row r="261" spans="9:9" ht="15" x14ac:dyDescent="0.25">
      <c r="I261" s="5"/>
    </row>
    <row r="262" spans="9:9" ht="15" x14ac:dyDescent="0.25">
      <c r="I262" s="5"/>
    </row>
    <row r="263" spans="9:9" ht="15" x14ac:dyDescent="0.25">
      <c r="I263" s="5"/>
    </row>
    <row r="264" spans="9:9" ht="15" x14ac:dyDescent="0.25">
      <c r="I264" s="5"/>
    </row>
    <row r="265" spans="9:9" ht="15" x14ac:dyDescent="0.25">
      <c r="I265" s="5"/>
    </row>
    <row r="266" spans="9:9" ht="15" x14ac:dyDescent="0.25">
      <c r="I266" s="5"/>
    </row>
    <row r="267" spans="9:9" ht="15" x14ac:dyDescent="0.25">
      <c r="I267" s="5"/>
    </row>
    <row r="268" spans="9:9" ht="15" x14ac:dyDescent="0.25">
      <c r="I268" s="5"/>
    </row>
    <row r="269" spans="9:9" ht="15" x14ac:dyDescent="0.25">
      <c r="I269" s="5"/>
    </row>
    <row r="270" spans="9:9" ht="15" x14ac:dyDescent="0.25">
      <c r="I270" s="5"/>
    </row>
    <row r="271" spans="9:9" ht="15" x14ac:dyDescent="0.25">
      <c r="I271" s="5"/>
    </row>
    <row r="272" spans="9:9" ht="15" x14ac:dyDescent="0.25">
      <c r="I272" s="5"/>
    </row>
    <row r="273" spans="9:9" ht="15" x14ac:dyDescent="0.25">
      <c r="I273" s="5"/>
    </row>
    <row r="274" spans="9:9" ht="15" x14ac:dyDescent="0.25">
      <c r="I274" s="5"/>
    </row>
    <row r="275" spans="9:9" ht="15" x14ac:dyDescent="0.25">
      <c r="I275" s="5"/>
    </row>
    <row r="276" spans="9:9" ht="15" x14ac:dyDescent="0.25">
      <c r="I276" s="5"/>
    </row>
    <row r="277" spans="9:9" ht="15" x14ac:dyDescent="0.25">
      <c r="I277" s="5"/>
    </row>
    <row r="278" spans="9:9" ht="15" x14ac:dyDescent="0.25">
      <c r="I278" s="5"/>
    </row>
    <row r="279" spans="9:9" ht="15" x14ac:dyDescent="0.25">
      <c r="I279" s="5"/>
    </row>
    <row r="280" spans="9:9" ht="15" x14ac:dyDescent="0.25">
      <c r="I280" s="5"/>
    </row>
    <row r="281" spans="9:9" ht="15" x14ac:dyDescent="0.25">
      <c r="I281" s="5"/>
    </row>
    <row r="282" spans="9:9" ht="15" x14ac:dyDescent="0.25">
      <c r="I282" s="5"/>
    </row>
    <row r="283" spans="9:9" ht="15" x14ac:dyDescent="0.25">
      <c r="I283" s="5"/>
    </row>
    <row r="284" spans="9:9" ht="15" x14ac:dyDescent="0.25">
      <c r="I284" s="5"/>
    </row>
    <row r="285" spans="9:9" ht="15" x14ac:dyDescent="0.25">
      <c r="I285" s="5"/>
    </row>
    <row r="286" spans="9:9" ht="15" x14ac:dyDescent="0.25">
      <c r="I286" s="5"/>
    </row>
    <row r="287" spans="9:9" ht="15" x14ac:dyDescent="0.25">
      <c r="I287" s="5"/>
    </row>
    <row r="288" spans="9:9" ht="15" x14ac:dyDescent="0.25">
      <c r="I288" s="5"/>
    </row>
    <row r="289" spans="9:9" ht="15" x14ac:dyDescent="0.25">
      <c r="I289" s="5"/>
    </row>
    <row r="290" spans="9:9" ht="15" x14ac:dyDescent="0.25">
      <c r="I290" s="5"/>
    </row>
    <row r="291" spans="9:9" ht="15" x14ac:dyDescent="0.25">
      <c r="I291" s="5"/>
    </row>
    <row r="292" spans="9:9" ht="15" x14ac:dyDescent="0.25">
      <c r="I292" s="5"/>
    </row>
    <row r="293" spans="9:9" ht="15" x14ac:dyDescent="0.25">
      <c r="I293" s="5"/>
    </row>
    <row r="294" spans="9:9" ht="15" x14ac:dyDescent="0.25">
      <c r="I294" s="5"/>
    </row>
    <row r="295" spans="9:9" ht="15" x14ac:dyDescent="0.25">
      <c r="I295" s="5"/>
    </row>
    <row r="296" spans="9:9" ht="15" x14ac:dyDescent="0.25">
      <c r="I296" s="5"/>
    </row>
    <row r="297" spans="9:9" ht="15" x14ac:dyDescent="0.25">
      <c r="I297" s="5"/>
    </row>
    <row r="298" spans="9:9" ht="15" x14ac:dyDescent="0.25">
      <c r="I298" s="5"/>
    </row>
    <row r="299" spans="9:9" ht="15" x14ac:dyDescent="0.25">
      <c r="I299" s="5"/>
    </row>
    <row r="300" spans="9:9" ht="15" x14ac:dyDescent="0.25">
      <c r="I300" s="5"/>
    </row>
    <row r="301" spans="9:9" ht="15" x14ac:dyDescent="0.25">
      <c r="I301" s="5"/>
    </row>
    <row r="302" spans="9:9" ht="15" x14ac:dyDescent="0.25">
      <c r="I302" s="5"/>
    </row>
    <row r="303" spans="9:9" ht="15" x14ac:dyDescent="0.25">
      <c r="I303" s="5"/>
    </row>
    <row r="304" spans="9:9" ht="15" x14ac:dyDescent="0.25">
      <c r="I304" s="5"/>
    </row>
    <row r="305" spans="9:9" ht="15" x14ac:dyDescent="0.25">
      <c r="I305" s="5"/>
    </row>
    <row r="306" spans="9:9" ht="15" x14ac:dyDescent="0.25">
      <c r="I306" s="5"/>
    </row>
    <row r="307" spans="9:9" ht="15" x14ac:dyDescent="0.25">
      <c r="I307" s="5"/>
    </row>
    <row r="308" spans="9:9" ht="15" x14ac:dyDescent="0.25">
      <c r="I308" s="5"/>
    </row>
    <row r="309" spans="9:9" ht="15" x14ac:dyDescent="0.25">
      <c r="I309" s="5"/>
    </row>
    <row r="310" spans="9:9" ht="15" x14ac:dyDescent="0.25">
      <c r="I310" s="5"/>
    </row>
    <row r="311" spans="9:9" ht="15" x14ac:dyDescent="0.25">
      <c r="I311" s="5"/>
    </row>
    <row r="312" spans="9:9" ht="15" x14ac:dyDescent="0.25">
      <c r="I312" s="5"/>
    </row>
    <row r="313" spans="9:9" ht="15" x14ac:dyDescent="0.25">
      <c r="I313" s="5"/>
    </row>
    <row r="314" spans="9:9" ht="15" x14ac:dyDescent="0.25">
      <c r="I314" s="5"/>
    </row>
    <row r="315" spans="9:9" ht="15" x14ac:dyDescent="0.25">
      <c r="I315" s="5"/>
    </row>
    <row r="316" spans="9:9" ht="15" x14ac:dyDescent="0.25">
      <c r="I316" s="5"/>
    </row>
    <row r="317" spans="9:9" ht="15" x14ac:dyDescent="0.25">
      <c r="I317" s="5"/>
    </row>
    <row r="318" spans="9:9" ht="15" x14ac:dyDescent="0.25">
      <c r="I318" s="5"/>
    </row>
    <row r="319" spans="9:9" ht="15" x14ac:dyDescent="0.25">
      <c r="I319" s="5"/>
    </row>
    <row r="320" spans="9:9" ht="15" x14ac:dyDescent="0.25">
      <c r="I320" s="5"/>
    </row>
    <row r="321" spans="9:9" ht="15" x14ac:dyDescent="0.25">
      <c r="I321" s="5"/>
    </row>
    <row r="322" spans="9:9" ht="15" x14ac:dyDescent="0.25">
      <c r="I322" s="5"/>
    </row>
    <row r="323" spans="9:9" ht="15" x14ac:dyDescent="0.25">
      <c r="I323" s="5"/>
    </row>
    <row r="324" spans="9:9" ht="15" x14ac:dyDescent="0.25">
      <c r="I324" s="5"/>
    </row>
    <row r="325" spans="9:9" ht="15" x14ac:dyDescent="0.25">
      <c r="I325" s="5"/>
    </row>
    <row r="326" spans="9:9" ht="15" x14ac:dyDescent="0.25">
      <c r="I326" s="5"/>
    </row>
    <row r="327" spans="9:9" ht="15" x14ac:dyDescent="0.25">
      <c r="I327" s="5"/>
    </row>
    <row r="328" spans="9:9" ht="15" x14ac:dyDescent="0.25">
      <c r="I328" s="5"/>
    </row>
    <row r="329" spans="9:9" ht="15" x14ac:dyDescent="0.25">
      <c r="I329" s="5"/>
    </row>
    <row r="330" spans="9:9" ht="15" x14ac:dyDescent="0.25">
      <c r="I330" s="5"/>
    </row>
    <row r="331" spans="9:9" ht="15" x14ac:dyDescent="0.25">
      <c r="I331" s="5"/>
    </row>
    <row r="332" spans="9:9" ht="15" x14ac:dyDescent="0.25">
      <c r="I332" s="5"/>
    </row>
    <row r="333" spans="9:9" ht="15" x14ac:dyDescent="0.25">
      <c r="I333" s="5"/>
    </row>
    <row r="334" spans="9:9" ht="15" x14ac:dyDescent="0.25">
      <c r="I334" s="5"/>
    </row>
    <row r="335" spans="9:9" ht="15" x14ac:dyDescent="0.25">
      <c r="I335" s="5"/>
    </row>
    <row r="336" spans="9:9" ht="15" x14ac:dyDescent="0.25">
      <c r="I336" s="5"/>
    </row>
    <row r="337" spans="9:9" ht="15" x14ac:dyDescent="0.25">
      <c r="I337" s="5"/>
    </row>
    <row r="338" spans="9:9" ht="15" x14ac:dyDescent="0.25">
      <c r="I338" s="5"/>
    </row>
    <row r="339" spans="9:9" ht="15" x14ac:dyDescent="0.25">
      <c r="I339" s="5"/>
    </row>
    <row r="340" spans="9:9" ht="15" x14ac:dyDescent="0.25">
      <c r="I340" s="5"/>
    </row>
    <row r="341" spans="9:9" ht="15" x14ac:dyDescent="0.25">
      <c r="I341" s="5"/>
    </row>
    <row r="342" spans="9:9" ht="15" x14ac:dyDescent="0.25">
      <c r="I342" s="5"/>
    </row>
    <row r="343" spans="9:9" ht="15" x14ac:dyDescent="0.25">
      <c r="I343" s="5"/>
    </row>
    <row r="344" spans="9:9" ht="15" x14ac:dyDescent="0.25">
      <c r="I344" s="5"/>
    </row>
    <row r="345" spans="9:9" ht="15" x14ac:dyDescent="0.25">
      <c r="I345" s="5"/>
    </row>
    <row r="346" spans="9:9" ht="15" x14ac:dyDescent="0.25">
      <c r="I346" s="5"/>
    </row>
    <row r="347" spans="9:9" ht="15" x14ac:dyDescent="0.25">
      <c r="I347" s="5"/>
    </row>
    <row r="348" spans="9:9" ht="15" x14ac:dyDescent="0.25">
      <c r="I348" s="5"/>
    </row>
    <row r="349" spans="9:9" ht="15" x14ac:dyDescent="0.25">
      <c r="I349" s="5"/>
    </row>
    <row r="350" spans="9:9" ht="15" x14ac:dyDescent="0.25">
      <c r="I350" s="5"/>
    </row>
    <row r="351" spans="9:9" ht="15" x14ac:dyDescent="0.25">
      <c r="I351" s="5"/>
    </row>
    <row r="352" spans="9:9" ht="15" x14ac:dyDescent="0.25">
      <c r="I352" s="5"/>
    </row>
    <row r="353" spans="9:9" ht="15" x14ac:dyDescent="0.25">
      <c r="I353" s="5"/>
    </row>
    <row r="354" spans="9:9" ht="15" x14ac:dyDescent="0.25">
      <c r="I354" s="5"/>
    </row>
    <row r="355" spans="9:9" ht="15" x14ac:dyDescent="0.25">
      <c r="I355" s="5"/>
    </row>
    <row r="356" spans="9:9" ht="15" x14ac:dyDescent="0.25">
      <c r="I356" s="5"/>
    </row>
    <row r="357" spans="9:9" ht="15" x14ac:dyDescent="0.25">
      <c r="I357" s="5"/>
    </row>
    <row r="358" spans="9:9" ht="15" x14ac:dyDescent="0.25">
      <c r="I358" s="5"/>
    </row>
    <row r="359" spans="9:9" ht="15" x14ac:dyDescent="0.25">
      <c r="I359" s="5"/>
    </row>
    <row r="360" spans="9:9" ht="15" x14ac:dyDescent="0.25">
      <c r="I360" s="5"/>
    </row>
    <row r="361" spans="9:9" ht="15" x14ac:dyDescent="0.25">
      <c r="I361" s="5"/>
    </row>
    <row r="362" spans="9:9" ht="15" x14ac:dyDescent="0.25">
      <c r="I362" s="5"/>
    </row>
    <row r="363" spans="9:9" ht="15" x14ac:dyDescent="0.25">
      <c r="I363" s="5"/>
    </row>
    <row r="364" spans="9:9" ht="15" x14ac:dyDescent="0.25">
      <c r="I364" s="5"/>
    </row>
    <row r="365" spans="9:9" ht="15" x14ac:dyDescent="0.25">
      <c r="I365" s="5"/>
    </row>
    <row r="366" spans="9:9" ht="15" x14ac:dyDescent="0.25">
      <c r="I366" s="5"/>
    </row>
    <row r="367" spans="9:9" ht="15" x14ac:dyDescent="0.25">
      <c r="I367" s="5"/>
    </row>
    <row r="368" spans="9:9" ht="15" x14ac:dyDescent="0.25">
      <c r="I368" s="5"/>
    </row>
    <row r="369" spans="9:9" ht="15" x14ac:dyDescent="0.25">
      <c r="I369" s="5"/>
    </row>
    <row r="370" spans="9:9" ht="15" x14ac:dyDescent="0.25">
      <c r="I370" s="5"/>
    </row>
    <row r="371" spans="9:9" ht="15" x14ac:dyDescent="0.25">
      <c r="I371" s="5"/>
    </row>
    <row r="372" spans="9:9" ht="15" x14ac:dyDescent="0.25">
      <c r="I372" s="5"/>
    </row>
    <row r="373" spans="9:9" ht="15" x14ac:dyDescent="0.25">
      <c r="I373" s="5"/>
    </row>
    <row r="374" spans="9:9" ht="15" x14ac:dyDescent="0.25">
      <c r="I374" s="5"/>
    </row>
    <row r="375" spans="9:9" ht="15" x14ac:dyDescent="0.25">
      <c r="I375" s="5"/>
    </row>
    <row r="376" spans="9:9" ht="15" x14ac:dyDescent="0.25">
      <c r="I376" s="5"/>
    </row>
    <row r="377" spans="9:9" ht="15" x14ac:dyDescent="0.25">
      <c r="I377" s="5"/>
    </row>
    <row r="378" spans="9:9" ht="15" x14ac:dyDescent="0.25">
      <c r="I378" s="5"/>
    </row>
    <row r="379" spans="9:9" ht="15" x14ac:dyDescent="0.25">
      <c r="I379" s="5"/>
    </row>
    <row r="380" spans="9:9" ht="15" x14ac:dyDescent="0.25">
      <c r="I380" s="5"/>
    </row>
    <row r="381" spans="9:9" ht="15" x14ac:dyDescent="0.25">
      <c r="I381" s="5"/>
    </row>
    <row r="382" spans="9:9" ht="15" x14ac:dyDescent="0.25">
      <c r="I382" s="5"/>
    </row>
    <row r="383" spans="9:9" ht="15" x14ac:dyDescent="0.25">
      <c r="I383" s="5"/>
    </row>
    <row r="384" spans="9:9" ht="15" x14ac:dyDescent="0.25">
      <c r="I384" s="5"/>
    </row>
    <row r="385" spans="9:9" ht="15" x14ac:dyDescent="0.25">
      <c r="I385" s="5"/>
    </row>
    <row r="386" spans="9:9" ht="15" x14ac:dyDescent="0.25">
      <c r="I386" s="5"/>
    </row>
    <row r="387" spans="9:9" ht="15" x14ac:dyDescent="0.25">
      <c r="I387" s="5"/>
    </row>
    <row r="388" spans="9:9" ht="15" x14ac:dyDescent="0.25">
      <c r="I388" s="5"/>
    </row>
    <row r="389" spans="9:9" ht="15" x14ac:dyDescent="0.25">
      <c r="I389" s="5"/>
    </row>
    <row r="390" spans="9:9" ht="15" x14ac:dyDescent="0.25">
      <c r="I390" s="5"/>
    </row>
    <row r="391" spans="9:9" ht="15" x14ac:dyDescent="0.25">
      <c r="I391" s="5"/>
    </row>
    <row r="392" spans="9:9" ht="15" x14ac:dyDescent="0.25">
      <c r="I392" s="5"/>
    </row>
    <row r="393" spans="9:9" ht="15" x14ac:dyDescent="0.25">
      <c r="I393" s="5"/>
    </row>
    <row r="394" spans="9:9" ht="15" x14ac:dyDescent="0.25">
      <c r="I394" s="5"/>
    </row>
    <row r="395" spans="9:9" ht="15" x14ac:dyDescent="0.25">
      <c r="I395" s="5"/>
    </row>
    <row r="396" spans="9:9" ht="15" x14ac:dyDescent="0.25">
      <c r="I396" s="5"/>
    </row>
    <row r="397" spans="9:9" ht="15" x14ac:dyDescent="0.25">
      <c r="I397" s="5"/>
    </row>
    <row r="398" spans="9:9" ht="15" x14ac:dyDescent="0.25">
      <c r="I398" s="5"/>
    </row>
    <row r="399" spans="9:9" ht="15" x14ac:dyDescent="0.25">
      <c r="I399" s="5"/>
    </row>
    <row r="400" spans="9:9" ht="15" x14ac:dyDescent="0.25">
      <c r="I400" s="5"/>
    </row>
    <row r="401" spans="9:9" ht="15" x14ac:dyDescent="0.25">
      <c r="I401" s="5"/>
    </row>
    <row r="402" spans="9:9" ht="15" x14ac:dyDescent="0.25">
      <c r="I402" s="5"/>
    </row>
    <row r="403" spans="9:9" ht="15" x14ac:dyDescent="0.25">
      <c r="I403" s="5"/>
    </row>
    <row r="404" spans="9:9" ht="15" x14ac:dyDescent="0.25">
      <c r="I404" s="5"/>
    </row>
    <row r="405" spans="9:9" ht="15" x14ac:dyDescent="0.25">
      <c r="I405" s="5"/>
    </row>
    <row r="406" spans="9:9" ht="15" x14ac:dyDescent="0.25">
      <c r="I406" s="5"/>
    </row>
    <row r="407" spans="9:9" ht="15" x14ac:dyDescent="0.25">
      <c r="I407" s="5"/>
    </row>
    <row r="408" spans="9:9" ht="15" x14ac:dyDescent="0.25">
      <c r="I408" s="5"/>
    </row>
    <row r="409" spans="9:9" ht="15" x14ac:dyDescent="0.25">
      <c r="I409" s="5"/>
    </row>
    <row r="410" spans="9:9" ht="15" x14ac:dyDescent="0.25">
      <c r="I410" s="5"/>
    </row>
    <row r="411" spans="9:9" ht="15" x14ac:dyDescent="0.25">
      <c r="I411" s="5"/>
    </row>
    <row r="412" spans="9:9" ht="15" x14ac:dyDescent="0.25">
      <c r="I412" s="5"/>
    </row>
    <row r="413" spans="9:9" ht="15" x14ac:dyDescent="0.25">
      <c r="I413" s="5"/>
    </row>
    <row r="414" spans="9:9" ht="15" x14ac:dyDescent="0.25">
      <c r="I414" s="5"/>
    </row>
    <row r="415" spans="9:9" ht="15" x14ac:dyDescent="0.25">
      <c r="I415" s="5"/>
    </row>
    <row r="416" spans="9:9" ht="15" x14ac:dyDescent="0.25">
      <c r="I416" s="5"/>
    </row>
    <row r="417" spans="9:9" ht="15" x14ac:dyDescent="0.25">
      <c r="I417" s="5"/>
    </row>
    <row r="418" spans="9:9" ht="15" x14ac:dyDescent="0.25">
      <c r="I418" s="5"/>
    </row>
    <row r="419" spans="9:9" ht="15" x14ac:dyDescent="0.25">
      <c r="I419" s="5"/>
    </row>
    <row r="420" spans="9:9" ht="15" x14ac:dyDescent="0.25">
      <c r="I420" s="5"/>
    </row>
    <row r="421" spans="9:9" ht="15" x14ac:dyDescent="0.25">
      <c r="I421" s="5"/>
    </row>
    <row r="422" spans="9:9" ht="15" x14ac:dyDescent="0.25">
      <c r="I422" s="5"/>
    </row>
    <row r="423" spans="9:9" ht="15" x14ac:dyDescent="0.25">
      <c r="I423" s="5"/>
    </row>
    <row r="424" spans="9:9" ht="15" x14ac:dyDescent="0.25">
      <c r="I424" s="5"/>
    </row>
    <row r="425" spans="9:9" ht="15" x14ac:dyDescent="0.25">
      <c r="I425" s="5"/>
    </row>
    <row r="426" spans="9:9" ht="15" x14ac:dyDescent="0.25">
      <c r="I426" s="5"/>
    </row>
    <row r="427" spans="9:9" ht="15" x14ac:dyDescent="0.25">
      <c r="I427" s="5"/>
    </row>
    <row r="428" spans="9:9" ht="15" x14ac:dyDescent="0.25">
      <c r="I428" s="5"/>
    </row>
    <row r="429" spans="9:9" ht="15" x14ac:dyDescent="0.25">
      <c r="I429" s="5"/>
    </row>
    <row r="430" spans="9:9" ht="15" x14ac:dyDescent="0.25">
      <c r="I430" s="5"/>
    </row>
    <row r="431" spans="9:9" ht="15" x14ac:dyDescent="0.25">
      <c r="I431" s="5"/>
    </row>
    <row r="432" spans="9:9" ht="15" x14ac:dyDescent="0.25">
      <c r="I432" s="5"/>
    </row>
    <row r="433" spans="9:9" ht="15" x14ac:dyDescent="0.25">
      <c r="I433" s="5"/>
    </row>
    <row r="434" spans="9:9" ht="15" x14ac:dyDescent="0.25">
      <c r="I434" s="5"/>
    </row>
    <row r="435" spans="9:9" ht="15" x14ac:dyDescent="0.25">
      <c r="I435" s="5"/>
    </row>
    <row r="436" spans="9:9" ht="15" x14ac:dyDescent="0.25">
      <c r="I436" s="5"/>
    </row>
    <row r="437" spans="9:9" ht="15" x14ac:dyDescent="0.25">
      <c r="I437" s="5"/>
    </row>
    <row r="438" spans="9:9" ht="15" x14ac:dyDescent="0.25">
      <c r="I438" s="5"/>
    </row>
    <row r="439" spans="9:9" ht="15" x14ac:dyDescent="0.25">
      <c r="I439" s="5"/>
    </row>
    <row r="440" spans="9:9" ht="15" x14ac:dyDescent="0.25">
      <c r="I440" s="5"/>
    </row>
    <row r="441" spans="9:9" ht="15" x14ac:dyDescent="0.25">
      <c r="I441" s="5"/>
    </row>
    <row r="442" spans="9:9" ht="15" x14ac:dyDescent="0.25">
      <c r="I442" s="5"/>
    </row>
    <row r="443" spans="9:9" ht="15" x14ac:dyDescent="0.25">
      <c r="I443" s="5"/>
    </row>
    <row r="444" spans="9:9" ht="15" x14ac:dyDescent="0.25">
      <c r="I444" s="5"/>
    </row>
    <row r="445" spans="9:9" ht="15" x14ac:dyDescent="0.25">
      <c r="I445" s="5"/>
    </row>
    <row r="446" spans="9:9" ht="15" x14ac:dyDescent="0.25">
      <c r="I446" s="5"/>
    </row>
    <row r="447" spans="9:9" ht="15" x14ac:dyDescent="0.25">
      <c r="I447" s="5"/>
    </row>
    <row r="448" spans="9:9" ht="15" x14ac:dyDescent="0.25">
      <c r="I448" s="5"/>
    </row>
    <row r="449" spans="9:9" ht="15" x14ac:dyDescent="0.25">
      <c r="I449" s="5"/>
    </row>
    <row r="450" spans="9:9" ht="15" x14ac:dyDescent="0.25">
      <c r="I450" s="5"/>
    </row>
    <row r="451" spans="9:9" ht="15" x14ac:dyDescent="0.25">
      <c r="I451" s="5"/>
    </row>
    <row r="452" spans="9:9" ht="15" x14ac:dyDescent="0.25">
      <c r="I452" s="5"/>
    </row>
    <row r="453" spans="9:9" ht="15" x14ac:dyDescent="0.25">
      <c r="I453" s="5"/>
    </row>
    <row r="454" spans="9:9" ht="15" x14ac:dyDescent="0.25">
      <c r="I454" s="5"/>
    </row>
    <row r="455" spans="9:9" ht="15" x14ac:dyDescent="0.25">
      <c r="I455" s="5"/>
    </row>
    <row r="456" spans="9:9" ht="15" x14ac:dyDescent="0.25">
      <c r="I456" s="5"/>
    </row>
    <row r="457" spans="9:9" ht="15" x14ac:dyDescent="0.25">
      <c r="I457" s="5"/>
    </row>
    <row r="458" spans="9:9" ht="15" x14ac:dyDescent="0.25">
      <c r="I458" s="5"/>
    </row>
    <row r="459" spans="9:9" ht="15" x14ac:dyDescent="0.25">
      <c r="I459" s="5"/>
    </row>
    <row r="460" spans="9:9" ht="15" x14ac:dyDescent="0.25">
      <c r="I460" s="5"/>
    </row>
    <row r="461" spans="9:9" ht="15" x14ac:dyDescent="0.25">
      <c r="I461" s="5"/>
    </row>
    <row r="462" spans="9:9" ht="15" x14ac:dyDescent="0.25">
      <c r="I462" s="5"/>
    </row>
    <row r="463" spans="9:9" ht="15" x14ac:dyDescent="0.25">
      <c r="I463" s="5"/>
    </row>
    <row r="464" spans="9:9" ht="15" x14ac:dyDescent="0.25">
      <c r="I464" s="5"/>
    </row>
    <row r="465" spans="9:9" ht="15" x14ac:dyDescent="0.25">
      <c r="I465" s="5"/>
    </row>
    <row r="466" spans="9:9" ht="15" x14ac:dyDescent="0.25">
      <c r="I466" s="5"/>
    </row>
    <row r="467" spans="9:9" ht="15" x14ac:dyDescent="0.25">
      <c r="I467" s="5"/>
    </row>
    <row r="468" spans="9:9" ht="15" x14ac:dyDescent="0.25">
      <c r="I468" s="5"/>
    </row>
    <row r="469" spans="9:9" ht="15" x14ac:dyDescent="0.25">
      <c r="I469" s="5"/>
    </row>
    <row r="470" spans="9:9" ht="15" x14ac:dyDescent="0.25">
      <c r="I470" s="5"/>
    </row>
    <row r="471" spans="9:9" ht="15" x14ac:dyDescent="0.25">
      <c r="I471" s="5"/>
    </row>
    <row r="472" spans="9:9" ht="15" x14ac:dyDescent="0.25">
      <c r="I472" s="5"/>
    </row>
    <row r="473" spans="9:9" ht="15" x14ac:dyDescent="0.25">
      <c r="I473" s="5"/>
    </row>
    <row r="474" spans="9:9" ht="15" x14ac:dyDescent="0.25">
      <c r="I474" s="5"/>
    </row>
    <row r="475" spans="9:9" ht="15" x14ac:dyDescent="0.25">
      <c r="I475" s="5"/>
    </row>
    <row r="476" spans="9:9" ht="15" x14ac:dyDescent="0.25">
      <c r="I476" s="5"/>
    </row>
    <row r="477" spans="9:9" ht="15" x14ac:dyDescent="0.25">
      <c r="I477" s="5"/>
    </row>
    <row r="478" spans="9:9" ht="15" x14ac:dyDescent="0.25">
      <c r="I478" s="5"/>
    </row>
    <row r="479" spans="9:9" ht="15" x14ac:dyDescent="0.25">
      <c r="I479" s="5"/>
    </row>
    <row r="480" spans="9:9" ht="15" x14ac:dyDescent="0.25">
      <c r="I480" s="5"/>
    </row>
    <row r="481" spans="9:9" ht="15" x14ac:dyDescent="0.25">
      <c r="I481" s="5"/>
    </row>
    <row r="482" spans="9:9" ht="15" x14ac:dyDescent="0.25">
      <c r="I482" s="5"/>
    </row>
    <row r="483" spans="9:9" ht="15" x14ac:dyDescent="0.25">
      <c r="I483" s="5"/>
    </row>
    <row r="484" spans="9:9" ht="15" x14ac:dyDescent="0.25">
      <c r="I484" s="5"/>
    </row>
    <row r="485" spans="9:9" ht="15" x14ac:dyDescent="0.25">
      <c r="I485" s="5"/>
    </row>
    <row r="486" spans="9:9" ht="15" x14ac:dyDescent="0.25">
      <c r="I486" s="5"/>
    </row>
    <row r="487" spans="9:9" ht="15" x14ac:dyDescent="0.25">
      <c r="I487" s="5"/>
    </row>
    <row r="488" spans="9:9" ht="15" x14ac:dyDescent="0.25">
      <c r="I488" s="5"/>
    </row>
    <row r="489" spans="9:9" ht="15" x14ac:dyDescent="0.25">
      <c r="I489" s="5"/>
    </row>
    <row r="490" spans="9:9" ht="15" x14ac:dyDescent="0.25">
      <c r="I490" s="5"/>
    </row>
    <row r="491" spans="9:9" ht="15" x14ac:dyDescent="0.25">
      <c r="I491" s="5"/>
    </row>
    <row r="492" spans="9:9" ht="15" x14ac:dyDescent="0.25">
      <c r="I492" s="5"/>
    </row>
    <row r="493" spans="9:9" ht="15" x14ac:dyDescent="0.25">
      <c r="I493" s="5"/>
    </row>
    <row r="494" spans="9:9" ht="15" x14ac:dyDescent="0.25">
      <c r="I494" s="5"/>
    </row>
    <row r="495" spans="9:9" ht="15" x14ac:dyDescent="0.25">
      <c r="I495" s="5"/>
    </row>
    <row r="496" spans="9:9" ht="15" x14ac:dyDescent="0.25">
      <c r="I496" s="5"/>
    </row>
    <row r="497" spans="9:9" ht="15" x14ac:dyDescent="0.25">
      <c r="I497" s="5"/>
    </row>
    <row r="498" spans="9:9" ht="15" x14ac:dyDescent="0.25">
      <c r="I498" s="5"/>
    </row>
    <row r="499" spans="9:9" ht="15" x14ac:dyDescent="0.25">
      <c r="I499" s="5"/>
    </row>
    <row r="500" spans="9:9" ht="15" x14ac:dyDescent="0.25">
      <c r="I500" s="5"/>
    </row>
    <row r="501" spans="9:9" ht="15" x14ac:dyDescent="0.25">
      <c r="I501" s="5"/>
    </row>
    <row r="502" spans="9:9" ht="15" x14ac:dyDescent="0.25">
      <c r="I502" s="5"/>
    </row>
    <row r="503" spans="9:9" ht="15" x14ac:dyDescent="0.25">
      <c r="I503" s="5"/>
    </row>
    <row r="504" spans="9:9" ht="15" x14ac:dyDescent="0.25">
      <c r="I504" s="5"/>
    </row>
    <row r="505" spans="9:9" ht="15" x14ac:dyDescent="0.25">
      <c r="I505" s="5"/>
    </row>
    <row r="506" spans="9:9" ht="15" x14ac:dyDescent="0.25">
      <c r="I506" s="5"/>
    </row>
    <row r="507" spans="9:9" ht="15" x14ac:dyDescent="0.25">
      <c r="I507" s="5"/>
    </row>
    <row r="508" spans="9:9" ht="15" x14ac:dyDescent="0.25">
      <c r="I508" s="5"/>
    </row>
    <row r="509" spans="9:9" ht="15" x14ac:dyDescent="0.25">
      <c r="I509" s="5"/>
    </row>
    <row r="510" spans="9:9" ht="15" x14ac:dyDescent="0.25">
      <c r="I510" s="5"/>
    </row>
    <row r="511" spans="9:9" ht="15" x14ac:dyDescent="0.25">
      <c r="I511" s="5"/>
    </row>
    <row r="512" spans="9:9" ht="15" x14ac:dyDescent="0.25">
      <c r="I512" s="5"/>
    </row>
    <row r="513" spans="9:9" ht="15" x14ac:dyDescent="0.25">
      <c r="I513" s="5"/>
    </row>
    <row r="514" spans="9:9" ht="15" x14ac:dyDescent="0.25">
      <c r="I514" s="5"/>
    </row>
    <row r="515" spans="9:9" ht="15" x14ac:dyDescent="0.25">
      <c r="I515" s="5"/>
    </row>
    <row r="516" spans="9:9" ht="15" x14ac:dyDescent="0.25">
      <c r="I516" s="5"/>
    </row>
    <row r="517" spans="9:9" ht="15" x14ac:dyDescent="0.25">
      <c r="I517" s="5"/>
    </row>
    <row r="518" spans="9:9" ht="15" x14ac:dyDescent="0.25">
      <c r="I518" s="5"/>
    </row>
    <row r="519" spans="9:9" ht="15" x14ac:dyDescent="0.25">
      <c r="I519" s="5"/>
    </row>
    <row r="520" spans="9:9" ht="15" x14ac:dyDescent="0.25">
      <c r="I520" s="5"/>
    </row>
    <row r="521" spans="9:9" ht="15" x14ac:dyDescent="0.25">
      <c r="I521" s="5"/>
    </row>
    <row r="522" spans="9:9" ht="15" x14ac:dyDescent="0.25">
      <c r="I522" s="5"/>
    </row>
    <row r="523" spans="9:9" ht="15" x14ac:dyDescent="0.25">
      <c r="I523" s="5"/>
    </row>
    <row r="524" spans="9:9" ht="15" x14ac:dyDescent="0.25">
      <c r="I524" s="5"/>
    </row>
    <row r="525" spans="9:9" ht="15" x14ac:dyDescent="0.25">
      <c r="I525" s="5"/>
    </row>
    <row r="526" spans="9:9" ht="15" x14ac:dyDescent="0.25">
      <c r="I526" s="5"/>
    </row>
    <row r="527" spans="9:9" ht="15" x14ac:dyDescent="0.25">
      <c r="I527" s="5"/>
    </row>
    <row r="528" spans="9:9" ht="15" x14ac:dyDescent="0.25">
      <c r="I528" s="5"/>
    </row>
    <row r="529" spans="9:9" ht="15" x14ac:dyDescent="0.25">
      <c r="I529" s="5"/>
    </row>
    <row r="530" spans="9:9" ht="15" x14ac:dyDescent="0.25">
      <c r="I530" s="5"/>
    </row>
    <row r="531" spans="9:9" ht="15" x14ac:dyDescent="0.25">
      <c r="I531" s="5"/>
    </row>
    <row r="532" spans="9:9" ht="15" x14ac:dyDescent="0.25">
      <c r="I532" s="5"/>
    </row>
    <row r="533" spans="9:9" ht="15" x14ac:dyDescent="0.25">
      <c r="I533" s="5"/>
    </row>
    <row r="534" spans="9:9" ht="15" x14ac:dyDescent="0.25">
      <c r="I534" s="5"/>
    </row>
    <row r="535" spans="9:9" ht="15" x14ac:dyDescent="0.25">
      <c r="I535" s="5"/>
    </row>
    <row r="536" spans="9:9" ht="15" x14ac:dyDescent="0.25">
      <c r="I536" s="5"/>
    </row>
    <row r="537" spans="9:9" ht="15" x14ac:dyDescent="0.25">
      <c r="I537" s="5"/>
    </row>
    <row r="538" spans="9:9" ht="15" x14ac:dyDescent="0.25">
      <c r="I538" s="5"/>
    </row>
    <row r="539" spans="9:9" ht="15" x14ac:dyDescent="0.25">
      <c r="I539" s="5"/>
    </row>
    <row r="540" spans="9:9" ht="15" x14ac:dyDescent="0.25">
      <c r="I540" s="5"/>
    </row>
    <row r="541" spans="9:9" ht="15" x14ac:dyDescent="0.25">
      <c r="I541" s="5"/>
    </row>
    <row r="542" spans="9:9" ht="15" x14ac:dyDescent="0.25">
      <c r="I542" s="5"/>
    </row>
    <row r="543" spans="9:9" ht="15" x14ac:dyDescent="0.25">
      <c r="I543" s="5"/>
    </row>
    <row r="544" spans="9:9" ht="15" x14ac:dyDescent="0.25">
      <c r="I544" s="5"/>
    </row>
    <row r="545" spans="9:9" ht="15" x14ac:dyDescent="0.25">
      <c r="I545" s="5"/>
    </row>
    <row r="546" spans="9:9" ht="15" x14ac:dyDescent="0.25">
      <c r="I546" s="5"/>
    </row>
    <row r="547" spans="9:9" ht="15" x14ac:dyDescent="0.25">
      <c r="I547" s="5"/>
    </row>
    <row r="548" spans="9:9" ht="15" x14ac:dyDescent="0.25">
      <c r="I548" s="5"/>
    </row>
    <row r="549" spans="9:9" ht="15" x14ac:dyDescent="0.25">
      <c r="I549" s="5"/>
    </row>
    <row r="550" spans="9:9" ht="15" x14ac:dyDescent="0.25">
      <c r="I550" s="5"/>
    </row>
    <row r="551" spans="9:9" ht="15" x14ac:dyDescent="0.25">
      <c r="I551" s="5"/>
    </row>
    <row r="552" spans="9:9" ht="15" x14ac:dyDescent="0.25">
      <c r="I552" s="5"/>
    </row>
    <row r="553" spans="9:9" ht="15" x14ac:dyDescent="0.25">
      <c r="I553" s="5"/>
    </row>
    <row r="554" spans="9:9" ht="15" x14ac:dyDescent="0.25">
      <c r="I554" s="5"/>
    </row>
    <row r="555" spans="9:9" ht="15" x14ac:dyDescent="0.25">
      <c r="I555" s="5"/>
    </row>
    <row r="556" spans="9:9" ht="15" x14ac:dyDescent="0.25">
      <c r="I556" s="5"/>
    </row>
    <row r="557" spans="9:9" ht="15" x14ac:dyDescent="0.25">
      <c r="I557" s="5"/>
    </row>
    <row r="558" spans="9:9" ht="15" x14ac:dyDescent="0.25">
      <c r="I558" s="5"/>
    </row>
    <row r="559" spans="9:9" ht="15" x14ac:dyDescent="0.25">
      <c r="I559" s="5"/>
    </row>
    <row r="560" spans="9:9" ht="15" x14ac:dyDescent="0.25">
      <c r="I560" s="5"/>
    </row>
    <row r="561" spans="9:9" ht="15" x14ac:dyDescent="0.25">
      <c r="I561" s="5"/>
    </row>
    <row r="562" spans="9:9" ht="15" x14ac:dyDescent="0.25">
      <c r="I562" s="5"/>
    </row>
    <row r="563" spans="9:9" ht="15" x14ac:dyDescent="0.25">
      <c r="I563" s="5"/>
    </row>
    <row r="564" spans="9:9" ht="15" x14ac:dyDescent="0.25">
      <c r="I564" s="5"/>
    </row>
    <row r="565" spans="9:9" ht="15" x14ac:dyDescent="0.25">
      <c r="I565" s="5"/>
    </row>
    <row r="566" spans="9:9" ht="15" x14ac:dyDescent="0.25">
      <c r="I566" s="5"/>
    </row>
    <row r="567" spans="9:9" ht="15" x14ac:dyDescent="0.25">
      <c r="I567" s="5"/>
    </row>
    <row r="568" spans="9:9" ht="15" x14ac:dyDescent="0.25">
      <c r="I568" s="5"/>
    </row>
    <row r="569" spans="9:9" ht="15" x14ac:dyDescent="0.25">
      <c r="I569" s="5"/>
    </row>
    <row r="570" spans="9:9" ht="15" x14ac:dyDescent="0.25">
      <c r="I570" s="5"/>
    </row>
    <row r="571" spans="9:9" ht="15" x14ac:dyDescent="0.25">
      <c r="I571" s="5"/>
    </row>
    <row r="572" spans="9:9" ht="15" x14ac:dyDescent="0.25">
      <c r="I572" s="5"/>
    </row>
    <row r="573" spans="9:9" ht="15" x14ac:dyDescent="0.25">
      <c r="I573" s="5"/>
    </row>
    <row r="574" spans="9:9" ht="15" x14ac:dyDescent="0.25">
      <c r="I574" s="5"/>
    </row>
    <row r="575" spans="9:9" ht="15" x14ac:dyDescent="0.25">
      <c r="I575" s="5"/>
    </row>
    <row r="576" spans="9:9" ht="15" x14ac:dyDescent="0.25">
      <c r="I576" s="5"/>
    </row>
    <row r="577" spans="9:9" ht="15" x14ac:dyDescent="0.25">
      <c r="I577" s="5"/>
    </row>
    <row r="578" spans="9:9" ht="15" x14ac:dyDescent="0.25">
      <c r="I578" s="5"/>
    </row>
    <row r="579" spans="9:9" ht="15" x14ac:dyDescent="0.25">
      <c r="I579" s="5"/>
    </row>
    <row r="580" spans="9:9" ht="15" x14ac:dyDescent="0.25">
      <c r="I580" s="5"/>
    </row>
    <row r="581" spans="9:9" ht="15" x14ac:dyDescent="0.25">
      <c r="I581" s="5"/>
    </row>
    <row r="582" spans="9:9" ht="15" x14ac:dyDescent="0.25">
      <c r="I582" s="5"/>
    </row>
    <row r="583" spans="9:9" ht="15" x14ac:dyDescent="0.25">
      <c r="I583" s="5"/>
    </row>
    <row r="584" spans="9:9" ht="15" x14ac:dyDescent="0.25">
      <c r="I584" s="5"/>
    </row>
    <row r="585" spans="9:9" ht="15" x14ac:dyDescent="0.25">
      <c r="I585" s="5"/>
    </row>
    <row r="586" spans="9:9" ht="15" x14ac:dyDescent="0.25">
      <c r="I586" s="5"/>
    </row>
    <row r="587" spans="9:9" ht="15" x14ac:dyDescent="0.25">
      <c r="I587" s="5"/>
    </row>
    <row r="588" spans="9:9" ht="15" x14ac:dyDescent="0.25">
      <c r="I588" s="5"/>
    </row>
    <row r="589" spans="9:9" ht="15" x14ac:dyDescent="0.25">
      <c r="I589" s="5"/>
    </row>
    <row r="590" spans="9:9" ht="15" x14ac:dyDescent="0.25">
      <c r="I590" s="5"/>
    </row>
    <row r="591" spans="9:9" ht="15" x14ac:dyDescent="0.25">
      <c r="I591" s="5"/>
    </row>
    <row r="592" spans="9:9" ht="15" x14ac:dyDescent="0.25">
      <c r="I592" s="5"/>
    </row>
    <row r="593" spans="9:9" ht="15" x14ac:dyDescent="0.25">
      <c r="I593" s="5"/>
    </row>
    <row r="594" spans="9:9" ht="15" x14ac:dyDescent="0.25">
      <c r="I594" s="5"/>
    </row>
    <row r="595" spans="9:9" ht="15" x14ac:dyDescent="0.25">
      <c r="I595" s="5"/>
    </row>
    <row r="596" spans="9:9" ht="15" x14ac:dyDescent="0.25">
      <c r="I596" s="5"/>
    </row>
    <row r="597" spans="9:9" ht="15" x14ac:dyDescent="0.25">
      <c r="I597" s="5"/>
    </row>
    <row r="598" spans="9:9" ht="15" x14ac:dyDescent="0.25">
      <c r="I598" s="5"/>
    </row>
    <row r="599" spans="9:9" ht="15" x14ac:dyDescent="0.25">
      <c r="I599" s="5"/>
    </row>
    <row r="600" spans="9:9" ht="15" x14ac:dyDescent="0.25">
      <c r="I600" s="5"/>
    </row>
    <row r="601" spans="9:9" ht="15" x14ac:dyDescent="0.25">
      <c r="I601" s="5"/>
    </row>
    <row r="602" spans="9:9" ht="15" x14ac:dyDescent="0.25">
      <c r="I602" s="5"/>
    </row>
    <row r="603" spans="9:9" ht="15" x14ac:dyDescent="0.25">
      <c r="I603" s="5"/>
    </row>
    <row r="604" spans="9:9" ht="15" x14ac:dyDescent="0.25">
      <c r="I604" s="5"/>
    </row>
    <row r="605" spans="9:9" ht="15" x14ac:dyDescent="0.25">
      <c r="I605" s="5"/>
    </row>
    <row r="606" spans="9:9" ht="15" x14ac:dyDescent="0.25">
      <c r="I606" s="5"/>
    </row>
    <row r="607" spans="9:9" ht="15" x14ac:dyDescent="0.25">
      <c r="I607" s="5"/>
    </row>
    <row r="608" spans="9:9" ht="15" x14ac:dyDescent="0.25">
      <c r="I608" s="5"/>
    </row>
    <row r="609" spans="9:9" ht="15" x14ac:dyDescent="0.25">
      <c r="I609" s="5"/>
    </row>
    <row r="610" spans="9:9" ht="15" x14ac:dyDescent="0.25">
      <c r="I610" s="5"/>
    </row>
    <row r="611" spans="9:9" ht="15" x14ac:dyDescent="0.25">
      <c r="I611" s="5"/>
    </row>
    <row r="612" spans="9:9" ht="15" x14ac:dyDescent="0.25">
      <c r="I612" s="5"/>
    </row>
    <row r="613" spans="9:9" ht="15" x14ac:dyDescent="0.25">
      <c r="I613" s="5"/>
    </row>
    <row r="614" spans="9:9" ht="15" x14ac:dyDescent="0.25">
      <c r="I614" s="5"/>
    </row>
    <row r="615" spans="9:9" ht="15" x14ac:dyDescent="0.25">
      <c r="I615" s="5"/>
    </row>
    <row r="616" spans="9:9" ht="15" x14ac:dyDescent="0.25">
      <c r="I616" s="5"/>
    </row>
    <row r="617" spans="9:9" ht="15" x14ac:dyDescent="0.25">
      <c r="I617" s="5"/>
    </row>
    <row r="618" spans="9:9" ht="15" x14ac:dyDescent="0.25">
      <c r="I618" s="5"/>
    </row>
    <row r="619" spans="9:9" ht="15" x14ac:dyDescent="0.25">
      <c r="I619" s="5"/>
    </row>
    <row r="620" spans="9:9" ht="15" x14ac:dyDescent="0.25">
      <c r="I620" s="5"/>
    </row>
    <row r="621" spans="9:9" ht="15" x14ac:dyDescent="0.25">
      <c r="I621" s="5"/>
    </row>
    <row r="622" spans="9:9" ht="15" x14ac:dyDescent="0.25">
      <c r="I622" s="5"/>
    </row>
    <row r="623" spans="9:9" ht="15" x14ac:dyDescent="0.25">
      <c r="I623" s="5"/>
    </row>
    <row r="624" spans="9:9" ht="15" x14ac:dyDescent="0.25">
      <c r="I624" s="5"/>
    </row>
    <row r="625" spans="9:9" ht="15" x14ac:dyDescent="0.25">
      <c r="I625" s="5"/>
    </row>
    <row r="626" spans="9:9" ht="15" x14ac:dyDescent="0.25">
      <c r="I626" s="5"/>
    </row>
    <row r="627" spans="9:9" ht="15" x14ac:dyDescent="0.25">
      <c r="I627" s="5"/>
    </row>
    <row r="628" spans="9:9" ht="15" x14ac:dyDescent="0.25">
      <c r="I628" s="5"/>
    </row>
    <row r="629" spans="9:9" ht="15" x14ac:dyDescent="0.25">
      <c r="I629" s="5"/>
    </row>
    <row r="630" spans="9:9" ht="15" x14ac:dyDescent="0.25">
      <c r="I630" s="5"/>
    </row>
    <row r="631" spans="9:9" ht="15" x14ac:dyDescent="0.25">
      <c r="I631" s="5"/>
    </row>
    <row r="632" spans="9:9" ht="15" x14ac:dyDescent="0.25">
      <c r="I632" s="5"/>
    </row>
    <row r="633" spans="9:9" ht="15" x14ac:dyDescent="0.25">
      <c r="I633" s="5"/>
    </row>
    <row r="634" spans="9:9" ht="15" x14ac:dyDescent="0.25">
      <c r="I634" s="5"/>
    </row>
    <row r="635" spans="9:9" ht="15" x14ac:dyDescent="0.25">
      <c r="I635" s="5"/>
    </row>
    <row r="636" spans="9:9" ht="15" x14ac:dyDescent="0.25">
      <c r="I636" s="5"/>
    </row>
    <row r="637" spans="9:9" ht="15" x14ac:dyDescent="0.25">
      <c r="I637" s="5"/>
    </row>
    <row r="638" spans="9:9" ht="15" x14ac:dyDescent="0.25">
      <c r="I638" s="5"/>
    </row>
    <row r="639" spans="9:9" ht="15" x14ac:dyDescent="0.25">
      <c r="I639" s="5"/>
    </row>
    <row r="640" spans="9:9" ht="15" x14ac:dyDescent="0.25">
      <c r="I640" s="5"/>
    </row>
    <row r="641" spans="9:9" ht="15" x14ac:dyDescent="0.25">
      <c r="I641" s="5"/>
    </row>
    <row r="642" spans="9:9" ht="15" x14ac:dyDescent="0.25">
      <c r="I642" s="5"/>
    </row>
    <row r="643" spans="9:9" ht="15" x14ac:dyDescent="0.25">
      <c r="I643" s="5"/>
    </row>
    <row r="644" spans="9:9" ht="15" x14ac:dyDescent="0.25">
      <c r="I644" s="5"/>
    </row>
    <row r="645" spans="9:9" ht="15" x14ac:dyDescent="0.25">
      <c r="I645" s="5"/>
    </row>
    <row r="646" spans="9:9" ht="15" x14ac:dyDescent="0.25">
      <c r="I646" s="5"/>
    </row>
    <row r="647" spans="9:9" ht="15" x14ac:dyDescent="0.25">
      <c r="I647" s="5"/>
    </row>
    <row r="648" spans="9:9" ht="15" x14ac:dyDescent="0.25">
      <c r="I648" s="5"/>
    </row>
    <row r="649" spans="9:9" ht="15" x14ac:dyDescent="0.25">
      <c r="I649" s="5"/>
    </row>
    <row r="650" spans="9:9" ht="15" x14ac:dyDescent="0.25">
      <c r="I650" s="5"/>
    </row>
    <row r="651" spans="9:9" ht="15" x14ac:dyDescent="0.25">
      <c r="I651" s="5"/>
    </row>
    <row r="652" spans="9:9" ht="15" x14ac:dyDescent="0.25">
      <c r="I652" s="5"/>
    </row>
  </sheetData>
  <mergeCells count="25">
    <mergeCell ref="G83:H83"/>
    <mergeCell ref="G99:H99"/>
    <mergeCell ref="G87:H87"/>
    <mergeCell ref="G88:H88"/>
    <mergeCell ref="G72:H72"/>
    <mergeCell ref="G74:H74"/>
    <mergeCell ref="G75:H75"/>
    <mergeCell ref="G76:H76"/>
    <mergeCell ref="G77:H77"/>
    <mergeCell ref="G73:H73"/>
    <mergeCell ref="G78:H78"/>
    <mergeCell ref="G79:H79"/>
    <mergeCell ref="G80:H80"/>
    <mergeCell ref="G81:H81"/>
    <mergeCell ref="G82:H82"/>
    <mergeCell ref="G90:H90"/>
    <mergeCell ref="B113:D113"/>
    <mergeCell ref="B114:D114"/>
    <mergeCell ref="G94:H94"/>
    <mergeCell ref="G95:H95"/>
    <mergeCell ref="G89:H89"/>
    <mergeCell ref="G92:H92"/>
    <mergeCell ref="G93:H93"/>
    <mergeCell ref="G91:H91"/>
    <mergeCell ref="B112:D112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rowBreaks count="2" manualBreakCount="2">
    <brk id="29" max="7" man="1"/>
    <brk id="108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ropdown:" prompt="Ja/yes_x000a_Nein/no_x000a_n.v./n.a." xr:uid="{00000000-0002-0000-0100-000000000000}">
          <x14:formula1>
            <xm:f>IF(A1="DE",Language!$A$10:$A$12,Language!$A$13:$A$15)</xm:f>
          </x14:formula1>
          <xm:sqref>D19</xm:sqref>
        </x14:dataValidation>
        <x14:dataValidation type="list" allowBlank="1" showInputMessage="1" showErrorMessage="1" promptTitle="Dropdown:" prompt="Ja/yes_x000a_Nein/no_x000a_n.v./n.a." xr:uid="{00000000-0002-0000-0100-000001000000}">
          <x14:formula1>
            <xm:f>IF(A1="DE",Language!$A$10:$A$12,Language!$A$13:$A$15)</xm:f>
          </x14:formula1>
          <xm:sqref>D142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zoomScaleNormal="100" workbookViewId="0">
      <selection activeCell="B25" sqref="B25"/>
    </sheetView>
  </sheetViews>
  <sheetFormatPr baseColWidth="10" defaultColWidth="9.140625" defaultRowHeight="15" outlineLevelRow="1" x14ac:dyDescent="0.25"/>
  <cols>
    <col min="1" max="1" width="3.85546875" style="1" customWidth="1"/>
    <col min="2" max="2" width="36.5703125" style="1" bestFit="1" customWidth="1"/>
    <col min="3" max="4" width="12.7109375" style="3" customWidth="1"/>
    <col min="5" max="16384" width="9.140625" style="1"/>
  </cols>
  <sheetData>
    <row r="1" spans="1:5" s="34" customFormat="1" ht="23.25" customHeight="1" thickBot="1" x14ac:dyDescent="0.3">
      <c r="A1" s="35" t="s">
        <v>106</v>
      </c>
      <c r="B1" s="35" t="str">
        <f>INDEX([2]Language!$D$2:$X$300,SUM([2]Language!AB204),IF([2]Overview!$A$1="EN",3,11))</f>
        <v>INFORMATION ON ADDITIONAL COVER POOL</v>
      </c>
      <c r="C1" s="4"/>
      <c r="D1" s="4"/>
    </row>
    <row r="2" spans="1:5" s="34" customFormat="1" ht="15" customHeight="1" x14ac:dyDescent="0.25">
      <c r="A2" s="75"/>
      <c r="B2" s="173" t="str">
        <f>INDEX([2]Language!$D$2:$X$300,SUM([2]Language!AB205),IF([2]Overview!$A$1="EN",3,11))</f>
        <v>display unit in mn - except "number"</v>
      </c>
      <c r="C2" s="174"/>
      <c r="D2" s="174"/>
    </row>
    <row r="4" spans="1:5" x14ac:dyDescent="0.25">
      <c r="B4" s="189" t="str">
        <f>INDEX([2]Language!$D$2:$X$300,SUM([2]Language!AB207),IF([2]Overview!$A$1="EN",3,11))</f>
        <v>Overview</v>
      </c>
      <c r="C4" s="190"/>
      <c r="D4" s="189" t="str">
        <f>INDEX([2]Language!$D$2:$X$300,SUM([2]Language!AD207),IF([2]Overview!$A$1="EN",5,13))</f>
        <v>volume</v>
      </c>
    </row>
    <row r="5" spans="1:5" x14ac:dyDescent="0.25">
      <c r="B5" s="38" t="str">
        <f>INDEX([2]Language!$D$2:$X$300,SUM([2]Language!AB208),IF([2]Overview!$A$1="EN",3,11))</f>
        <v>Cash, deposits</v>
      </c>
      <c r="C5" s="36"/>
      <c r="D5" s="62"/>
    </row>
    <row r="6" spans="1:5" x14ac:dyDescent="0.25">
      <c r="B6" s="38" t="str">
        <f>INDEX([2]Language!$D$2:$X$300,SUM([2]Language!AB209),IF([2]Overview!$A$1="EN",3,11))</f>
        <v>Bonds</v>
      </c>
      <c r="C6" s="36"/>
      <c r="D6" s="200">
        <v>89860450</v>
      </c>
    </row>
    <row r="7" spans="1:5" x14ac:dyDescent="0.25">
      <c r="B7" s="51" t="str">
        <f>INDEX([2]Language!$D$2:$X$300,SUM([2]Language!AB210),IF([2]Overview!$A$1="EN",3,11))</f>
        <v xml:space="preserve">    thereof National Bank eligible</v>
      </c>
      <c r="C7" s="52"/>
      <c r="D7" s="200">
        <v>89860450</v>
      </c>
    </row>
    <row r="8" spans="1:5" x14ac:dyDescent="0.25">
      <c r="B8" s="191" t="str">
        <f>INDEX([2]Language!$D$2:$X$300,SUM([2]Language!AB211),IF([2]Overview!$A$1="EN",3,11))</f>
        <v>Total</v>
      </c>
      <c r="C8" s="191"/>
      <c r="D8" s="187">
        <f>SUM(D5:D6)</f>
        <v>89860450</v>
      </c>
    </row>
    <row r="9" spans="1:5" x14ac:dyDescent="0.25">
      <c r="B9" s="191" t="str">
        <f>INDEX([2]Language!$D$2:$X$300,SUM([2]Language!AB212),IF([2]Overview!$A$1="EN",3,11))</f>
        <v>Additional cover pool (in % of total issues)</v>
      </c>
      <c r="C9" s="191"/>
      <c r="D9" s="188">
        <f>D8/[3]Primärdeckung!$C$14</f>
        <v>2.059156596109131E-2</v>
      </c>
      <c r="E9" s="80"/>
    </row>
    <row r="11" spans="1:5" x14ac:dyDescent="0.25">
      <c r="B11" s="189" t="str">
        <f>INDEX([2]Language!$D$2:$X$300,SUM([2]Language!AB214),IF([2]Overview!$A$1="EN",3,11))</f>
        <v>Bonds by volume</v>
      </c>
      <c r="C11" s="190" t="str">
        <f>INDEX([2]Language!$D$2:$X$300,SUM([2]Language!AC214),IF([2]Overview!$A$1="EN",4,12))</f>
        <v>volume</v>
      </c>
      <c r="D11" s="192" t="str">
        <f>INDEX([2]Language!$D$2:$X$300,SUM([2]Language!AD214),IF([2]Overview!$A$1="EN",5,13))</f>
        <v>number</v>
      </c>
    </row>
    <row r="12" spans="1:5" x14ac:dyDescent="0.25">
      <c r="B12" s="38" t="str">
        <f>INDEX([2]Language!$D$2:$X$300,SUM([2]Language!AB215),IF([2]Overview!$A$1="EN",3,11))</f>
        <v>≤  1.000.000</v>
      </c>
      <c r="C12" s="64"/>
      <c r="D12" s="48"/>
    </row>
    <row r="13" spans="1:5" x14ac:dyDescent="0.25">
      <c r="B13" s="38" t="str">
        <f>INDEX([2]Language!$D$2:$X$300,SUM([2]Language!AB216),IF([2]Overview!$A$1="EN",3,11))</f>
        <v>1.000.000 - 5.000.000</v>
      </c>
      <c r="C13" s="201">
        <v>7968350</v>
      </c>
      <c r="D13" s="202">
        <v>2</v>
      </c>
    </row>
    <row r="14" spans="1:5" x14ac:dyDescent="0.25">
      <c r="B14" s="38" t="str">
        <f>INDEX([2]Language!$D$2:$X$300,SUM([2]Language!AB217),IF([2]Overview!$A$1="EN",3,11))</f>
        <v>≥ 5.000.000</v>
      </c>
      <c r="C14" s="201">
        <v>81892100</v>
      </c>
      <c r="D14" s="202">
        <v>7</v>
      </c>
    </row>
    <row r="15" spans="1:5" x14ac:dyDescent="0.25">
      <c r="B15" s="191" t="str">
        <f>INDEX([2]Language!$D$2:$X$300,SUM([2]Language!AB218),IF([2]Overview!$A$1="EN",3,11))</f>
        <v>Total</v>
      </c>
      <c r="C15" s="193">
        <f>SUM(C12:C14)</f>
        <v>89860450</v>
      </c>
      <c r="D15" s="194">
        <f>SUM(D12:D14)</f>
        <v>9</v>
      </c>
    </row>
    <row r="17" spans="2:4" x14ac:dyDescent="0.25">
      <c r="B17" s="189" t="str">
        <f>INDEX([2]Language!$D$2:$X$300,SUM([2]Language!AB220),IF([2]Overview!$A$1="EN",3,11))</f>
        <v>Additional cover pool by currencies</v>
      </c>
      <c r="C17" s="190" t="str">
        <f>INDEX([2]Language!$D$2:$X$300,SUM([2]Language!AC220),IF([2]Overview!$A$1="EN",4,12))</f>
        <v>volume</v>
      </c>
      <c r="D17" s="192" t="str">
        <f>INDEX([2]Language!$D$2:$X$300,SUM([2]Language!AD220),IF([2]Overview!$A$1="EN",5,13))</f>
        <v>%</v>
      </c>
    </row>
    <row r="18" spans="2:4" x14ac:dyDescent="0.25">
      <c r="B18" s="38" t="str">
        <f>INDEX([2]Language!$D$2:$X$300,SUM([2]Language!AB221),IF([2]Overview!$A$1="EN",3,11))</f>
        <v>EUR</v>
      </c>
      <c r="C18" s="201">
        <v>89860450</v>
      </c>
      <c r="D18" s="196">
        <f>IF(($C$23=0),0,(C18/$C$23))</f>
        <v>1</v>
      </c>
    </row>
    <row r="19" spans="2:4" x14ac:dyDescent="0.25">
      <c r="B19" s="38" t="str">
        <f>INDEX([2]Language!$D$2:$X$300,SUM([2]Language!AB222),IF([2]Overview!$A$1="EN",3,11))</f>
        <v>CHF</v>
      </c>
      <c r="C19" s="64"/>
      <c r="D19" s="196">
        <f>IF(($C$23=0),0,(C19/$C$23))</f>
        <v>0</v>
      </c>
    </row>
    <row r="20" spans="2:4" x14ac:dyDescent="0.25">
      <c r="B20" s="38" t="str">
        <f>INDEX([2]Language!$D$2:$X$300,SUM([2]Language!AB223),IF([2]Overview!$A$1="EN",3,11))</f>
        <v>USD</v>
      </c>
      <c r="C20" s="64"/>
      <c r="D20" s="196">
        <f>IF(($C$23=0),0,(C20/$C$23))</f>
        <v>0</v>
      </c>
    </row>
    <row r="21" spans="2:4" x14ac:dyDescent="0.25">
      <c r="B21" s="38" t="str">
        <f>INDEX([2]Language!$D$2:$X$300,SUM([2]Language!AB224),IF([2]Overview!$A$1="EN",3,11))</f>
        <v>JPY</v>
      </c>
      <c r="C21" s="64"/>
      <c r="D21" s="196">
        <f>IF(($C$23=0),0,(C21/$C$23))</f>
        <v>0</v>
      </c>
    </row>
    <row r="22" spans="2:4" x14ac:dyDescent="0.25">
      <c r="B22" s="38" t="str">
        <f>INDEX([2]Language!$D$2:$X$300,SUM([2]Language!AB225),IF([2]Overview!$A$1="EN",3,11))</f>
        <v>Other currencies</v>
      </c>
      <c r="C22" s="64"/>
      <c r="D22" s="196">
        <f>IF(($C$23=0),0,(C22/$C$23))</f>
        <v>0</v>
      </c>
    </row>
    <row r="23" spans="2:4" x14ac:dyDescent="0.25">
      <c r="B23" s="191" t="str">
        <f>INDEX([2]Language!$D$2:$X$300,SUM([2]Language!AB226),IF([2]Overview!$A$1="EN",3,11))</f>
        <v>Total</v>
      </c>
      <c r="C23" s="193">
        <f>SUM(C18:C22)</f>
        <v>89860450</v>
      </c>
      <c r="D23" s="195">
        <f>SUM(D18:D22)</f>
        <v>1</v>
      </c>
    </row>
    <row r="25" spans="2:4" x14ac:dyDescent="0.25">
      <c r="B25" s="189" t="str">
        <f>INDEX([2]Language!$D$2:$X$300,SUM([2]Language!AB228),IF([2]Overview!$A$1="EN",3,11))</f>
        <v>Regional distribution of additional cover pool</v>
      </c>
      <c r="C25" s="190" t="str">
        <f>INDEX([2]Language!$D$2:$X$300,SUM([2]Language!AC228),IF([2]Overview!$A$1="EN",4,12))</f>
        <v>Volumen</v>
      </c>
      <c r="D25" s="192" t="str">
        <f>INDEX([2]Language!$D$2:$X$300,SUM([2]Language!AD228),IF([2]Overview!$A$1="EN",5,13))</f>
        <v>%</v>
      </c>
    </row>
    <row r="26" spans="2:4" x14ac:dyDescent="0.25">
      <c r="B26" s="41" t="str">
        <f>INDEX([2]Language!$D$2:$X$300,SUM([2]Language!AB229),IF([2]Overview!$A$1="EN",3,11))</f>
        <v>EU member states</v>
      </c>
      <c r="C26" s="197">
        <f>SUM(C27:C54)</f>
        <v>89997600</v>
      </c>
      <c r="D26" s="198">
        <f>SUM(D27:D54)</f>
        <v>1</v>
      </c>
    </row>
    <row r="27" spans="2:4" outlineLevel="1" x14ac:dyDescent="0.25">
      <c r="B27" s="38" t="str">
        <f>INDEX([2]Language!$D$2:$X$300,SUM([2]Language!AB230),IF([2]Overview!$A$1="EN",3,11))</f>
        <v>Austria</v>
      </c>
      <c r="C27" s="203">
        <v>56997600</v>
      </c>
      <c r="D27" s="199">
        <f>IF(($C$61=0),0,(C27/$C$61))</f>
        <v>0.63332355529480788</v>
      </c>
    </row>
    <row r="28" spans="2:4" outlineLevel="1" x14ac:dyDescent="0.25">
      <c r="B28" s="38" t="str">
        <f>INDEX([2]Language!$D$2:$X$300,SUM([2]Language!AB231),IF([2]Overview!$A$1="EN",3,11))</f>
        <v>Belgium</v>
      </c>
      <c r="C28" s="81"/>
      <c r="D28" s="199">
        <f t="shared" ref="D28:D54" si="0">IF(($C$61=0),0,(C28/$C$61))</f>
        <v>0</v>
      </c>
    </row>
    <row r="29" spans="2:4" outlineLevel="1" x14ac:dyDescent="0.25">
      <c r="B29" s="38" t="str">
        <f>INDEX([2]Language!$D$2:$X$300,SUM([2]Language!AB232),IF([2]Overview!$A$1="EN",3,11))</f>
        <v>Bulgaria</v>
      </c>
      <c r="C29" s="81"/>
      <c r="D29" s="199">
        <f t="shared" si="0"/>
        <v>0</v>
      </c>
    </row>
    <row r="30" spans="2:4" outlineLevel="1" x14ac:dyDescent="0.25">
      <c r="B30" s="38" t="str">
        <f>INDEX([2]Language!$D$2:$X$300,SUM([2]Language!AB233),IF([2]Overview!$A$1="EN",3,11))</f>
        <v>Croatia</v>
      </c>
      <c r="C30" s="81"/>
      <c r="D30" s="199">
        <f t="shared" si="0"/>
        <v>0</v>
      </c>
    </row>
    <row r="31" spans="2:4" outlineLevel="1" x14ac:dyDescent="0.25">
      <c r="B31" s="38" t="str">
        <f>INDEX([2]Language!$D$2:$X$300,SUM([2]Language!AB234),IF([2]Overview!$A$1="EN",3,11))</f>
        <v>Cyprus</v>
      </c>
      <c r="C31" s="81"/>
      <c r="D31" s="199">
        <f t="shared" si="0"/>
        <v>0</v>
      </c>
    </row>
    <row r="32" spans="2:4" outlineLevel="1" x14ac:dyDescent="0.25">
      <c r="B32" s="38" t="str">
        <f>INDEX([2]Language!$D$2:$X$300,SUM([2]Language!AB235),IF([2]Overview!$A$1="EN",3,11))</f>
        <v>Czech Republic</v>
      </c>
      <c r="C32" s="203">
        <v>13000000</v>
      </c>
      <c r="D32" s="199">
        <f t="shared" si="0"/>
        <v>0.14444829639901507</v>
      </c>
    </row>
    <row r="33" spans="2:4" outlineLevel="1" x14ac:dyDescent="0.25">
      <c r="B33" s="38" t="str">
        <f>INDEX([2]Language!$D$2:$X$300,SUM([2]Language!AB236),IF([2]Overview!$A$1="EN",3,11))</f>
        <v>Denmark</v>
      </c>
      <c r="C33" s="81"/>
      <c r="D33" s="199">
        <f t="shared" si="0"/>
        <v>0</v>
      </c>
    </row>
    <row r="34" spans="2:4" outlineLevel="1" x14ac:dyDescent="0.25">
      <c r="B34" s="38" t="str">
        <f>INDEX([2]Language!$D$2:$X$300,SUM([2]Language!AB237),IF([2]Overview!$A$1="EN",3,11))</f>
        <v>Estonia</v>
      </c>
      <c r="C34" s="81"/>
      <c r="D34" s="199">
        <f t="shared" si="0"/>
        <v>0</v>
      </c>
    </row>
    <row r="35" spans="2:4" outlineLevel="1" x14ac:dyDescent="0.25">
      <c r="B35" s="38" t="str">
        <f>INDEX([2]Language!$D$2:$X$300,SUM([2]Language!AB238),IF([2]Overview!$A$1="EN",3,11))</f>
        <v>Finnland</v>
      </c>
      <c r="C35" s="81"/>
      <c r="D35" s="199">
        <f t="shared" si="0"/>
        <v>0</v>
      </c>
    </row>
    <row r="36" spans="2:4" outlineLevel="1" x14ac:dyDescent="0.25">
      <c r="B36" s="38" t="str">
        <f>INDEX([2]Language!$D$2:$X$300,SUM([2]Language!AB239),IF([2]Overview!$A$1="EN",3,11))</f>
        <v>France</v>
      </c>
      <c r="C36" s="81">
        <v>10000000</v>
      </c>
      <c r="D36" s="199">
        <f t="shared" si="0"/>
        <v>0.11111407415308852</v>
      </c>
    </row>
    <row r="37" spans="2:4" outlineLevel="1" x14ac:dyDescent="0.25">
      <c r="B37" s="38" t="str">
        <f>INDEX([2]Language!$D$2:$X$300,SUM([2]Language!AB240),IF([2]Overview!$A$1="EN",3,11))</f>
        <v>Germany</v>
      </c>
      <c r="C37" s="81"/>
      <c r="D37" s="199">
        <f t="shared" si="0"/>
        <v>0</v>
      </c>
    </row>
    <row r="38" spans="2:4" outlineLevel="1" x14ac:dyDescent="0.25">
      <c r="B38" s="38" t="str">
        <f>INDEX([2]Language!$D$2:$X$300,SUM([2]Language!AB241),IF([2]Overview!$A$1="EN",3,11))</f>
        <v>Greece</v>
      </c>
      <c r="C38" s="81"/>
      <c r="D38" s="199">
        <f t="shared" si="0"/>
        <v>0</v>
      </c>
    </row>
    <row r="39" spans="2:4" outlineLevel="1" x14ac:dyDescent="0.25">
      <c r="B39" s="38" t="str">
        <f>INDEX([2]Language!$D$2:$X$300,SUM([2]Language!AB242),IF([2]Overview!$A$1="EN",3,11))</f>
        <v>Hungary</v>
      </c>
      <c r="C39" s="81"/>
      <c r="D39" s="199">
        <f t="shared" si="0"/>
        <v>0</v>
      </c>
    </row>
    <row r="40" spans="2:4" outlineLevel="1" x14ac:dyDescent="0.25">
      <c r="B40" s="38" t="str">
        <f>INDEX([2]Language!$D$2:$X$300,SUM([2]Language!AB243),IF([2]Overview!$A$1="EN",3,11))</f>
        <v>Irland</v>
      </c>
      <c r="C40" s="81"/>
      <c r="D40" s="199">
        <f t="shared" si="0"/>
        <v>0</v>
      </c>
    </row>
    <row r="41" spans="2:4" outlineLevel="1" x14ac:dyDescent="0.25">
      <c r="B41" s="38" t="str">
        <f>INDEX([2]Language!$D$2:$X$300,SUM([2]Language!AB244),IF([2]Overview!$A$1="EN",3,11))</f>
        <v>Italy</v>
      </c>
      <c r="C41" s="81"/>
      <c r="D41" s="199">
        <f t="shared" si="0"/>
        <v>0</v>
      </c>
    </row>
    <row r="42" spans="2:4" outlineLevel="1" x14ac:dyDescent="0.25">
      <c r="B42" s="38" t="str">
        <f>INDEX([2]Language!$D$2:$X$300,SUM([2]Language!AB245),IF([2]Overview!$A$1="EN",3,11))</f>
        <v>Latvia</v>
      </c>
      <c r="C42" s="81"/>
      <c r="D42" s="199">
        <f t="shared" si="0"/>
        <v>0</v>
      </c>
    </row>
    <row r="43" spans="2:4" outlineLevel="1" x14ac:dyDescent="0.25">
      <c r="B43" s="38" t="str">
        <f>INDEX([2]Language!$D$2:$X$300,SUM([2]Language!AB246),IF([2]Overview!$A$1="EN",3,11))</f>
        <v>Lituania</v>
      </c>
      <c r="C43" s="81"/>
      <c r="D43" s="199">
        <f t="shared" si="0"/>
        <v>0</v>
      </c>
    </row>
    <row r="44" spans="2:4" outlineLevel="1" x14ac:dyDescent="0.25">
      <c r="B44" s="38" t="str">
        <f>INDEX([2]Language!$D$2:$X$300,SUM([2]Language!AB247),IF([2]Overview!$A$1="EN",3,11))</f>
        <v>Luxembourg</v>
      </c>
      <c r="C44" s="81"/>
      <c r="D44" s="199">
        <f t="shared" si="0"/>
        <v>0</v>
      </c>
    </row>
    <row r="45" spans="2:4" outlineLevel="1" x14ac:dyDescent="0.25">
      <c r="B45" s="38" t="str">
        <f>INDEX([2]Language!$D$2:$X$300,SUM([2]Language!AB248),IF([2]Overview!$A$1="EN",3,11))</f>
        <v>Malta</v>
      </c>
      <c r="C45" s="81"/>
      <c r="D45" s="199">
        <f t="shared" si="0"/>
        <v>0</v>
      </c>
    </row>
    <row r="46" spans="2:4" outlineLevel="1" x14ac:dyDescent="0.25">
      <c r="B46" s="38" t="str">
        <f>INDEX([2]Language!$D$2:$X$300,SUM([2]Language!AB249),IF([2]Overview!$A$1="EN",3,11))</f>
        <v>Poland</v>
      </c>
      <c r="C46" s="81">
        <v>10000000</v>
      </c>
      <c r="D46" s="199">
        <f t="shared" si="0"/>
        <v>0.11111407415308852</v>
      </c>
    </row>
    <row r="47" spans="2:4" outlineLevel="1" x14ac:dyDescent="0.25">
      <c r="B47" s="38" t="str">
        <f>INDEX([2]Language!$D$2:$X$300,SUM([2]Language!AB250),IF([2]Overview!$A$1="EN",3,11))</f>
        <v>Portugal</v>
      </c>
      <c r="C47" s="81"/>
      <c r="D47" s="199">
        <f t="shared" si="0"/>
        <v>0</v>
      </c>
    </row>
    <row r="48" spans="2:4" outlineLevel="1" x14ac:dyDescent="0.25">
      <c r="B48" s="38" t="str">
        <f>INDEX([2]Language!$D$2:$X$300,SUM([2]Language!AB251),IF([2]Overview!$A$1="EN",3,11))</f>
        <v>Romania</v>
      </c>
      <c r="C48" s="81"/>
      <c r="D48" s="199">
        <f t="shared" si="0"/>
        <v>0</v>
      </c>
    </row>
    <row r="49" spans="2:4" outlineLevel="1" x14ac:dyDescent="0.25">
      <c r="B49" s="38" t="str">
        <f>INDEX([2]Language!$D$2:$X$300,SUM([2]Language!AB252),IF([2]Overview!$A$1="EN",3,11))</f>
        <v>Slovakia</v>
      </c>
      <c r="C49" s="203"/>
      <c r="D49" s="199">
        <f t="shared" si="0"/>
        <v>0</v>
      </c>
    </row>
    <row r="50" spans="2:4" outlineLevel="1" x14ac:dyDescent="0.25">
      <c r="B50" s="38" t="str">
        <f>INDEX([2]Language!$D$2:$X$300,SUM([2]Language!AB253),IF([2]Overview!$A$1="EN",3,11))</f>
        <v>Slovenia</v>
      </c>
      <c r="C50" s="81"/>
      <c r="D50" s="199">
        <f t="shared" si="0"/>
        <v>0</v>
      </c>
    </row>
    <row r="51" spans="2:4" outlineLevel="1" x14ac:dyDescent="0.25">
      <c r="B51" s="38" t="str">
        <f>INDEX([2]Language!$D$2:$X$300,SUM([2]Language!AB254),IF([2]Overview!$A$1="EN",3,11))</f>
        <v>Spain</v>
      </c>
      <c r="C51" s="81"/>
      <c r="D51" s="199">
        <f t="shared" si="0"/>
        <v>0</v>
      </c>
    </row>
    <row r="52" spans="2:4" outlineLevel="1" x14ac:dyDescent="0.25">
      <c r="B52" s="38" t="str">
        <f>INDEX([2]Language!$D$2:$X$300,SUM([2]Language!AB255),IF([2]Overview!$A$1="EN",3,11))</f>
        <v>Sweden</v>
      </c>
      <c r="C52" s="81"/>
      <c r="D52" s="199">
        <f t="shared" si="0"/>
        <v>0</v>
      </c>
    </row>
    <row r="53" spans="2:4" outlineLevel="1" x14ac:dyDescent="0.25">
      <c r="B53" s="38" t="str">
        <f>INDEX([2]Language!$D$2:$X$300,SUM([2]Language!AB256),IF([2]Overview!$A$1="EN",3,11))</f>
        <v>The Netherlands</v>
      </c>
      <c r="C53" s="81"/>
      <c r="D53" s="199">
        <f t="shared" si="0"/>
        <v>0</v>
      </c>
    </row>
    <row r="54" spans="2:4" outlineLevel="1" x14ac:dyDescent="0.25">
      <c r="B54" s="38" t="str">
        <f>INDEX([2]Language!$D$2:$X$300,SUM([2]Language!AB257),IF([2]Overview!$A$1="EN",3,11))</f>
        <v>UK</v>
      </c>
      <c r="C54" s="81"/>
      <c r="D54" s="199">
        <f t="shared" si="0"/>
        <v>0</v>
      </c>
    </row>
    <row r="55" spans="2:4" x14ac:dyDescent="0.25">
      <c r="B55" s="41" t="str">
        <f>INDEX([2]Language!$D$2:$X$300,SUM([2]Language!AB258),IF([2]Overview!$A$1="EN",3,11))</f>
        <v>EEA member states</v>
      </c>
      <c r="C55" s="197">
        <f>SUM(C56:C58)</f>
        <v>0</v>
      </c>
      <c r="D55" s="198">
        <f>SUM(D56:D58)</f>
        <v>0</v>
      </c>
    </row>
    <row r="56" spans="2:4" outlineLevel="1" x14ac:dyDescent="0.25">
      <c r="B56" s="38" t="s">
        <v>319</v>
      </c>
      <c r="C56" s="81"/>
      <c r="D56" s="82">
        <f t="shared" ref="D56:D58" si="1">IF(($C$61=0),0,(C56/$C$61))</f>
        <v>0</v>
      </c>
    </row>
    <row r="57" spans="2:4" outlineLevel="1" x14ac:dyDescent="0.25">
      <c r="B57" s="38" t="str">
        <f>INDEX([2]Language!$D$2:$X$300,SUM([2]Language!AB260),IF([2]Overview!$A$1="EN",3,11))</f>
        <v>Liechtenstein</v>
      </c>
      <c r="C57" s="81"/>
      <c r="D57" s="82">
        <f t="shared" si="1"/>
        <v>0</v>
      </c>
    </row>
    <row r="58" spans="2:4" outlineLevel="1" x14ac:dyDescent="0.25">
      <c r="B58" s="38" t="str">
        <f>INDEX([2]Language!$D$2:$X$300,SUM([2]Language!AB261),IF([2]Overview!$A$1="EN",3,11))</f>
        <v>Norway</v>
      </c>
      <c r="C58" s="81"/>
      <c r="D58" s="82">
        <f t="shared" si="1"/>
        <v>0</v>
      </c>
    </row>
    <row r="59" spans="2:4" x14ac:dyDescent="0.25">
      <c r="B59" s="41" t="str">
        <f>INDEX([2]Language!$D$2:$X$300,SUM([2]Language!AB262),IF([2]Overview!$A$1="EN",3,11))</f>
        <v>other countries</v>
      </c>
      <c r="C59" s="65"/>
      <c r="D59" s="198">
        <f>IF(($C$61=0),0,(C59/$C$61))</f>
        <v>0</v>
      </c>
    </row>
    <row r="60" spans="2:4" x14ac:dyDescent="0.25">
      <c r="B60" s="41" t="str">
        <f>INDEX([2]Language!$D$2:$X$300,SUM([2]Language!AB263),IF([2]Overview!$A$1="EN",3,11))</f>
        <v>Switzerland</v>
      </c>
      <c r="C60" s="65"/>
      <c r="D60" s="198">
        <f>IF(($C$61=0),0,(C60/$C$61))</f>
        <v>0</v>
      </c>
    </row>
    <row r="61" spans="2:4" x14ac:dyDescent="0.25">
      <c r="B61" s="189" t="str">
        <f>INDEX([2]Language!$D$2:$X$300,SUM([2]Language!AB264),IF([2]Overview!$A$1="EN",3,11))</f>
        <v>Total</v>
      </c>
      <c r="C61" s="193">
        <f>C26+C55+C59+C60</f>
        <v>89997600</v>
      </c>
      <c r="D61" s="195">
        <f>D26+D55+D59+D60</f>
        <v>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48"/>
  <sheetViews>
    <sheetView workbookViewId="0">
      <pane xSplit="2" ySplit="1" topLeftCell="E99" activePane="bottomRight" state="frozen"/>
      <selection pane="topRight" activeCell="C1" sqref="C1"/>
      <selection pane="bottomLeft" activeCell="A2" sqref="A2"/>
      <selection pane="bottomRight" activeCell="E86" sqref="E86:N86"/>
    </sheetView>
  </sheetViews>
  <sheetFormatPr baseColWidth="10" defaultRowHeight="15" x14ac:dyDescent="0.25"/>
  <cols>
    <col min="2" max="2" width="11.42578125" style="122"/>
    <col min="3" max="3" width="2.5703125" bestFit="1" customWidth="1"/>
    <col min="4" max="4" width="78.7109375" bestFit="1" customWidth="1"/>
    <col min="5" max="7" width="12.5703125" customWidth="1"/>
    <col min="8" max="8" width="13.85546875" customWidth="1"/>
    <col min="10" max="10" width="11.7109375" bestFit="1" customWidth="1"/>
    <col min="27" max="27" width="9.140625" style="135"/>
    <col min="28" max="34" width="9.140625" style="2" customWidth="1"/>
    <col min="35" max="35" width="12.7109375" style="4" customWidth="1"/>
  </cols>
  <sheetData>
    <row r="1" spans="1:35" ht="15.75" x14ac:dyDescent="0.25">
      <c r="D1" s="122">
        <v>1</v>
      </c>
      <c r="E1" s="122">
        <v>2</v>
      </c>
      <c r="F1" s="122">
        <v>3</v>
      </c>
      <c r="G1" s="122">
        <v>4</v>
      </c>
      <c r="H1" s="122">
        <v>5</v>
      </c>
      <c r="I1" s="122">
        <v>6</v>
      </c>
      <c r="J1" s="122">
        <v>7</v>
      </c>
      <c r="K1" s="122">
        <v>8</v>
      </c>
      <c r="L1" s="122">
        <v>9</v>
      </c>
      <c r="M1" s="122">
        <v>10</v>
      </c>
      <c r="N1" s="122">
        <v>11</v>
      </c>
      <c r="O1" s="122">
        <v>12</v>
      </c>
      <c r="P1" s="122">
        <v>13</v>
      </c>
      <c r="Q1" s="122">
        <v>14</v>
      </c>
      <c r="R1" s="122">
        <v>15</v>
      </c>
      <c r="S1" s="122">
        <v>16</v>
      </c>
      <c r="T1" s="122">
        <v>17</v>
      </c>
      <c r="U1" s="122">
        <v>18</v>
      </c>
      <c r="V1" s="122">
        <v>19</v>
      </c>
      <c r="W1" s="122">
        <v>20</v>
      </c>
      <c r="X1" s="122">
        <v>21</v>
      </c>
      <c r="AA1" s="156">
        <v>185</v>
      </c>
      <c r="AB1" s="134">
        <v>34</v>
      </c>
      <c r="AC1" s="134">
        <v>34</v>
      </c>
      <c r="AD1" s="134">
        <v>34</v>
      </c>
      <c r="AE1" s="134">
        <v>34</v>
      </c>
      <c r="AF1" s="134">
        <v>34</v>
      </c>
      <c r="AG1" s="134">
        <v>34</v>
      </c>
      <c r="AH1" s="134">
        <v>34</v>
      </c>
      <c r="AI1" s="134">
        <v>34</v>
      </c>
    </row>
    <row r="2" spans="1:35" ht="19.5" thickBot="1" x14ac:dyDescent="0.3">
      <c r="A2" t="s">
        <v>207</v>
      </c>
      <c r="B2" s="122">
        <v>1</v>
      </c>
      <c r="C2" s="84"/>
      <c r="D2" s="84" t="s">
        <v>0</v>
      </c>
      <c r="E2" s="229" t="s">
        <v>169</v>
      </c>
      <c r="F2" s="229"/>
      <c r="G2" s="229"/>
      <c r="H2" s="84"/>
      <c r="I2" s="84" t="s">
        <v>0</v>
      </c>
      <c r="J2" s="204" t="s">
        <v>169</v>
      </c>
      <c r="K2" s="204"/>
      <c r="L2" s="204"/>
      <c r="AA2" s="156">
        <v>186</v>
      </c>
      <c r="AB2" s="134">
        <v>35</v>
      </c>
      <c r="AC2" s="134">
        <v>35</v>
      </c>
      <c r="AD2" s="134">
        <v>35</v>
      </c>
      <c r="AE2" s="134">
        <v>35</v>
      </c>
      <c r="AF2" s="134">
        <v>35</v>
      </c>
      <c r="AG2" s="134">
        <v>35</v>
      </c>
      <c r="AH2" s="134">
        <v>35</v>
      </c>
      <c r="AI2" s="134">
        <v>35</v>
      </c>
    </row>
    <row r="3" spans="1:35" ht="15.75" x14ac:dyDescent="0.25">
      <c r="A3" t="s">
        <v>208</v>
      </c>
      <c r="B3" s="122">
        <v>2</v>
      </c>
      <c r="C3" s="80"/>
      <c r="D3" s="80" t="s">
        <v>178</v>
      </c>
      <c r="E3" s="80"/>
      <c r="F3" s="86"/>
      <c r="G3" s="80"/>
      <c r="H3" s="80"/>
      <c r="I3" s="80" t="s">
        <v>1</v>
      </c>
      <c r="J3" s="80"/>
      <c r="K3" s="86"/>
      <c r="L3" s="80"/>
      <c r="AA3" s="156">
        <v>187</v>
      </c>
      <c r="AB3" s="134">
        <v>36</v>
      </c>
      <c r="AC3" s="134">
        <v>36</v>
      </c>
      <c r="AD3" s="134">
        <v>36</v>
      </c>
      <c r="AE3" s="134">
        <v>36</v>
      </c>
      <c r="AF3" s="134">
        <v>36</v>
      </c>
      <c r="AG3" s="134">
        <v>36</v>
      </c>
      <c r="AH3" s="134">
        <v>36</v>
      </c>
      <c r="AI3" s="134">
        <v>36</v>
      </c>
    </row>
    <row r="4" spans="1:35" ht="15.75" x14ac:dyDescent="0.25">
      <c r="B4" s="122">
        <v>3</v>
      </c>
      <c r="C4" s="80"/>
      <c r="D4" s="80" t="s">
        <v>179</v>
      </c>
      <c r="E4" s="80"/>
      <c r="F4" s="87" t="s">
        <v>113</v>
      </c>
      <c r="G4" s="80"/>
      <c r="H4" s="80"/>
      <c r="I4" s="80" t="s">
        <v>2</v>
      </c>
      <c r="J4" s="80"/>
      <c r="K4" s="87" t="s">
        <v>113</v>
      </c>
      <c r="L4" s="80"/>
      <c r="AA4" s="156">
        <v>188</v>
      </c>
      <c r="AB4" s="134">
        <v>37</v>
      </c>
      <c r="AC4" s="134">
        <v>37</v>
      </c>
      <c r="AD4" s="134">
        <v>37</v>
      </c>
      <c r="AE4" s="134">
        <v>37</v>
      </c>
      <c r="AF4" s="134">
        <v>37</v>
      </c>
      <c r="AG4" s="134">
        <v>37</v>
      </c>
      <c r="AH4" s="134">
        <v>37</v>
      </c>
      <c r="AI4" s="134">
        <v>37</v>
      </c>
    </row>
    <row r="5" spans="1:35" ht="15.75" x14ac:dyDescent="0.25">
      <c r="A5" t="s">
        <v>136</v>
      </c>
      <c r="B5" s="122">
        <v>4</v>
      </c>
      <c r="C5" s="80"/>
      <c r="D5" s="88"/>
      <c r="E5" s="80"/>
      <c r="F5" s="87"/>
      <c r="G5" s="80"/>
      <c r="H5" s="80"/>
      <c r="I5" s="88"/>
      <c r="J5" s="80"/>
      <c r="K5" s="87"/>
      <c r="L5" s="80"/>
      <c r="AA5" s="156">
        <v>189</v>
      </c>
      <c r="AB5" s="134">
        <v>38</v>
      </c>
      <c r="AC5" s="134">
        <v>38</v>
      </c>
      <c r="AD5" s="134">
        <v>38</v>
      </c>
      <c r="AE5" s="134">
        <v>38</v>
      </c>
      <c r="AF5" s="134">
        <v>38</v>
      </c>
      <c r="AG5" s="134">
        <v>38</v>
      </c>
      <c r="AH5" s="134">
        <v>38</v>
      </c>
      <c r="AI5" s="134">
        <v>38</v>
      </c>
    </row>
    <row r="6" spans="1:35" ht="15.75" x14ac:dyDescent="0.25">
      <c r="A6" t="s">
        <v>209</v>
      </c>
      <c r="B6" s="122">
        <v>5</v>
      </c>
      <c r="C6" s="80"/>
      <c r="D6" s="80"/>
      <c r="E6" s="80"/>
      <c r="F6" s="80"/>
      <c r="G6" s="80"/>
      <c r="H6" s="80"/>
      <c r="I6" s="80"/>
      <c r="J6" s="80"/>
      <c r="K6" s="80"/>
      <c r="L6" s="80"/>
      <c r="AA6" s="156">
        <v>190</v>
      </c>
      <c r="AB6" s="134">
        <v>39</v>
      </c>
      <c r="AC6" s="134">
        <v>39</v>
      </c>
      <c r="AD6" s="134">
        <v>39</v>
      </c>
      <c r="AE6" s="134">
        <v>39</v>
      </c>
      <c r="AF6" s="134">
        <v>39</v>
      </c>
      <c r="AG6" s="134">
        <v>39</v>
      </c>
      <c r="AH6" s="134">
        <v>39</v>
      </c>
      <c r="AI6" s="134">
        <v>39</v>
      </c>
    </row>
    <row r="7" spans="1:35" ht="16.5" thickBot="1" x14ac:dyDescent="0.3">
      <c r="A7" t="s">
        <v>210</v>
      </c>
      <c r="B7" s="122">
        <v>6</v>
      </c>
      <c r="C7" s="89"/>
      <c r="D7" s="89" t="s">
        <v>180</v>
      </c>
      <c r="E7" s="89"/>
      <c r="F7" s="89"/>
      <c r="G7" s="89"/>
      <c r="H7" s="89"/>
      <c r="I7" s="89" t="s">
        <v>151</v>
      </c>
      <c r="J7" s="89"/>
      <c r="K7" s="89"/>
      <c r="L7" s="89"/>
      <c r="AA7" s="156">
        <v>191</v>
      </c>
      <c r="AB7" s="134">
        <v>40</v>
      </c>
      <c r="AC7" s="134">
        <v>40</v>
      </c>
      <c r="AD7" s="134">
        <v>40</v>
      </c>
      <c r="AE7" s="134">
        <v>40</v>
      </c>
      <c r="AF7" s="134">
        <v>40</v>
      </c>
      <c r="AG7" s="134">
        <v>40</v>
      </c>
      <c r="AH7" s="134">
        <v>40</v>
      </c>
      <c r="AI7" s="134">
        <v>40</v>
      </c>
    </row>
    <row r="8" spans="1:35" ht="15.75" x14ac:dyDescent="0.25">
      <c r="B8" s="122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AA8" s="156">
        <v>192</v>
      </c>
      <c r="AB8" s="134">
        <v>41</v>
      </c>
      <c r="AC8" s="134">
        <v>41</v>
      </c>
      <c r="AD8" s="134">
        <v>41</v>
      </c>
      <c r="AE8" s="134">
        <v>41</v>
      </c>
      <c r="AF8" s="134">
        <v>41</v>
      </c>
      <c r="AG8" s="134">
        <v>41</v>
      </c>
      <c r="AH8" s="134">
        <v>41</v>
      </c>
      <c r="AI8" s="134">
        <v>41</v>
      </c>
    </row>
    <row r="9" spans="1:35" ht="16.5" thickBot="1" x14ac:dyDescent="0.3">
      <c r="B9" s="122">
        <v>8</v>
      </c>
      <c r="C9" s="91" t="s">
        <v>3</v>
      </c>
      <c r="D9" s="91" t="s">
        <v>181</v>
      </c>
      <c r="E9" s="91"/>
      <c r="F9" s="91"/>
      <c r="G9" s="91"/>
      <c r="H9" s="91" t="s">
        <v>3</v>
      </c>
      <c r="I9" s="91" t="s">
        <v>4</v>
      </c>
      <c r="J9" s="91"/>
      <c r="K9" s="91"/>
      <c r="L9" s="91"/>
      <c r="AA9" s="156">
        <v>193</v>
      </c>
      <c r="AB9" s="134">
        <v>42</v>
      </c>
      <c r="AC9" s="134">
        <v>42</v>
      </c>
      <c r="AD9" s="134">
        <v>42</v>
      </c>
      <c r="AE9" s="134">
        <v>42</v>
      </c>
      <c r="AF9" s="134">
        <v>42</v>
      </c>
      <c r="AG9" s="134">
        <v>42</v>
      </c>
      <c r="AH9" s="134">
        <v>42</v>
      </c>
      <c r="AI9" s="134">
        <v>42</v>
      </c>
    </row>
    <row r="10" spans="1:35" ht="15.75" x14ac:dyDescent="0.25">
      <c r="A10" t="s">
        <v>136</v>
      </c>
      <c r="B10" s="122">
        <v>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AA10" s="156">
        <v>194</v>
      </c>
      <c r="AB10" s="134">
        <v>43</v>
      </c>
      <c r="AC10" s="134">
        <v>43</v>
      </c>
      <c r="AD10" s="134">
        <v>43</v>
      </c>
      <c r="AE10" s="134">
        <v>43</v>
      </c>
      <c r="AF10" s="134">
        <v>43</v>
      </c>
      <c r="AG10" s="134">
        <v>43</v>
      </c>
      <c r="AH10" s="134">
        <v>43</v>
      </c>
      <c r="AI10" s="134">
        <v>43</v>
      </c>
    </row>
    <row r="11" spans="1:35" ht="15.75" x14ac:dyDescent="0.25">
      <c r="A11" t="s">
        <v>209</v>
      </c>
      <c r="B11" s="122">
        <v>10</v>
      </c>
      <c r="C11" s="80"/>
      <c r="D11" s="92" t="s">
        <v>182</v>
      </c>
      <c r="E11" s="80"/>
      <c r="F11" s="93" t="s">
        <v>183</v>
      </c>
      <c r="G11" s="80"/>
      <c r="H11" s="80"/>
      <c r="I11" s="92" t="s">
        <v>135</v>
      </c>
      <c r="J11" s="80"/>
      <c r="K11" s="93" t="s">
        <v>136</v>
      </c>
      <c r="L11" s="80"/>
      <c r="AA11" s="156">
        <v>195</v>
      </c>
      <c r="AB11" s="134">
        <v>44</v>
      </c>
      <c r="AC11" s="134">
        <v>44</v>
      </c>
      <c r="AD11" s="134">
        <v>44</v>
      </c>
      <c r="AE11" s="134">
        <v>44</v>
      </c>
      <c r="AF11" s="134">
        <v>44</v>
      </c>
      <c r="AG11" s="134">
        <v>44</v>
      </c>
      <c r="AH11" s="134">
        <v>44</v>
      </c>
      <c r="AI11" s="134">
        <v>44</v>
      </c>
    </row>
    <row r="12" spans="1:35" ht="15.75" x14ac:dyDescent="0.25">
      <c r="A12" t="s">
        <v>211</v>
      </c>
      <c r="B12" s="122">
        <v>11</v>
      </c>
      <c r="C12" s="80"/>
      <c r="D12" s="94" t="s">
        <v>184</v>
      </c>
      <c r="E12" s="95"/>
      <c r="F12" s="96">
        <v>0.1</v>
      </c>
      <c r="G12" s="94"/>
      <c r="H12" s="80"/>
      <c r="I12" s="94" t="s">
        <v>152</v>
      </c>
      <c r="J12" s="95"/>
      <c r="K12" s="96">
        <v>0.1</v>
      </c>
      <c r="L12" s="94"/>
      <c r="AA12" s="156">
        <v>196</v>
      </c>
      <c r="AB12" s="134">
        <v>45</v>
      </c>
      <c r="AC12" s="134">
        <v>45</v>
      </c>
      <c r="AD12" s="134">
        <v>45</v>
      </c>
      <c r="AE12" s="134">
        <v>45</v>
      </c>
      <c r="AF12" s="134">
        <v>45</v>
      </c>
      <c r="AG12" s="134">
        <v>45</v>
      </c>
      <c r="AH12" s="134">
        <v>45</v>
      </c>
      <c r="AI12" s="134">
        <v>45</v>
      </c>
    </row>
    <row r="13" spans="1:35" ht="15.75" x14ac:dyDescent="0.25">
      <c r="A13" t="s">
        <v>183</v>
      </c>
      <c r="B13" s="122">
        <v>12</v>
      </c>
      <c r="C13" s="80"/>
      <c r="D13" s="94" t="s">
        <v>185</v>
      </c>
      <c r="E13" s="95" t="s">
        <v>186</v>
      </c>
      <c r="F13" s="121">
        <v>1000000000</v>
      </c>
      <c r="G13" s="94"/>
      <c r="H13" s="80"/>
      <c r="I13" s="94" t="s">
        <v>5</v>
      </c>
      <c r="J13" s="95" t="s">
        <v>137</v>
      </c>
      <c r="K13" s="99">
        <v>340000000</v>
      </c>
      <c r="L13" s="94"/>
      <c r="AA13" s="156">
        <v>197</v>
      </c>
      <c r="AB13" s="134">
        <v>46</v>
      </c>
      <c r="AC13" s="134">
        <v>46</v>
      </c>
      <c r="AD13" s="134">
        <v>46</v>
      </c>
      <c r="AE13" s="134">
        <v>46</v>
      </c>
      <c r="AF13" s="134">
        <v>46</v>
      </c>
      <c r="AG13" s="134">
        <v>46</v>
      </c>
      <c r="AH13" s="134">
        <v>46</v>
      </c>
      <c r="AI13" s="134">
        <v>46</v>
      </c>
    </row>
    <row r="14" spans="1:35" ht="15.75" x14ac:dyDescent="0.25">
      <c r="A14" t="s">
        <v>212</v>
      </c>
      <c r="B14" s="122">
        <v>13</v>
      </c>
      <c r="C14" s="80"/>
      <c r="D14" s="94" t="s">
        <v>187</v>
      </c>
      <c r="E14" s="95" t="s">
        <v>186</v>
      </c>
      <c r="F14" s="121">
        <v>1000000000</v>
      </c>
      <c r="G14" s="94"/>
      <c r="H14" s="80"/>
      <c r="I14" s="94" t="s">
        <v>165</v>
      </c>
      <c r="J14" s="95" t="s">
        <v>137</v>
      </c>
      <c r="K14" s="99">
        <v>380000000</v>
      </c>
      <c r="L14" s="94"/>
      <c r="AA14" s="156">
        <v>198</v>
      </c>
      <c r="AB14" s="134">
        <v>47</v>
      </c>
      <c r="AC14" s="134">
        <v>47</v>
      </c>
      <c r="AD14" s="134">
        <v>47</v>
      </c>
      <c r="AE14" s="134">
        <v>47</v>
      </c>
      <c r="AF14" s="134">
        <v>47</v>
      </c>
      <c r="AG14" s="134">
        <v>47</v>
      </c>
      <c r="AH14" s="134">
        <v>47</v>
      </c>
      <c r="AI14" s="134">
        <v>47</v>
      </c>
    </row>
    <row r="15" spans="1:35" ht="15.75" x14ac:dyDescent="0.25">
      <c r="A15" t="s">
        <v>303</v>
      </c>
      <c r="B15" s="122">
        <v>14</v>
      </c>
      <c r="C15" s="80"/>
      <c r="D15" s="94" t="s">
        <v>188</v>
      </c>
      <c r="E15" s="97" t="s">
        <v>7</v>
      </c>
      <c r="F15" s="97" t="s">
        <v>8</v>
      </c>
      <c r="G15" s="97" t="s">
        <v>9</v>
      </c>
      <c r="H15" s="80"/>
      <c r="I15" s="94" t="s">
        <v>6</v>
      </c>
      <c r="J15" s="97" t="s">
        <v>7</v>
      </c>
      <c r="K15" s="97" t="s">
        <v>8</v>
      </c>
      <c r="L15" s="97" t="s">
        <v>9</v>
      </c>
      <c r="AA15" s="156">
        <v>199</v>
      </c>
      <c r="AB15" s="134">
        <v>48</v>
      </c>
      <c r="AC15" s="134">
        <v>48</v>
      </c>
      <c r="AD15" s="134">
        <v>48</v>
      </c>
      <c r="AE15" s="134">
        <v>48</v>
      </c>
      <c r="AF15" s="134">
        <v>48</v>
      </c>
      <c r="AG15" s="134">
        <v>48</v>
      </c>
      <c r="AH15" s="134">
        <v>48</v>
      </c>
      <c r="AI15" s="134">
        <v>48</v>
      </c>
    </row>
    <row r="16" spans="1:35" ht="15.75" x14ac:dyDescent="0.25">
      <c r="B16" s="122">
        <v>15</v>
      </c>
      <c r="C16" s="80"/>
      <c r="D16" s="94" t="s">
        <v>189</v>
      </c>
      <c r="E16" s="97" t="s">
        <v>118</v>
      </c>
      <c r="F16" s="97" t="s">
        <v>119</v>
      </c>
      <c r="G16" s="97" t="s">
        <v>119</v>
      </c>
      <c r="H16" s="80"/>
      <c r="I16" s="94" t="s">
        <v>10</v>
      </c>
      <c r="J16" s="97" t="s">
        <v>118</v>
      </c>
      <c r="K16" s="97" t="s">
        <v>119</v>
      </c>
      <c r="L16" s="97" t="s">
        <v>119</v>
      </c>
      <c r="AA16" s="156">
        <v>200</v>
      </c>
      <c r="AB16" s="134">
        <v>49</v>
      </c>
      <c r="AC16" s="134">
        <v>49</v>
      </c>
      <c r="AD16" s="134">
        <v>49</v>
      </c>
      <c r="AE16" s="134">
        <v>49</v>
      </c>
      <c r="AF16" s="134">
        <v>49</v>
      </c>
      <c r="AG16" s="134">
        <v>49</v>
      </c>
      <c r="AH16" s="134">
        <v>49</v>
      </c>
      <c r="AI16" s="134">
        <v>49</v>
      </c>
    </row>
    <row r="17" spans="2:35" ht="15.75" x14ac:dyDescent="0.25">
      <c r="B17" s="122">
        <v>16</v>
      </c>
      <c r="C17" s="80"/>
      <c r="D17" s="94" t="s">
        <v>190</v>
      </c>
      <c r="E17" s="97" t="s">
        <v>120</v>
      </c>
      <c r="F17" s="97" t="s">
        <v>120</v>
      </c>
      <c r="G17" s="97" t="s">
        <v>120</v>
      </c>
      <c r="H17" s="80"/>
      <c r="I17" s="94" t="s">
        <v>11</v>
      </c>
      <c r="J17" s="97" t="s">
        <v>120</v>
      </c>
      <c r="K17" s="97" t="s">
        <v>120</v>
      </c>
      <c r="L17" s="97" t="s">
        <v>120</v>
      </c>
      <c r="AA17" s="156">
        <v>201</v>
      </c>
      <c r="AB17" s="134">
        <v>50</v>
      </c>
      <c r="AC17" s="134">
        <v>50</v>
      </c>
      <c r="AD17" s="134">
        <v>50</v>
      </c>
      <c r="AE17" s="134">
        <v>50</v>
      </c>
      <c r="AF17" s="134">
        <v>50</v>
      </c>
      <c r="AG17" s="134">
        <v>50</v>
      </c>
      <c r="AH17" s="134">
        <v>50</v>
      </c>
      <c r="AI17" s="134">
        <v>50</v>
      </c>
    </row>
    <row r="18" spans="2:35" ht="15.75" x14ac:dyDescent="0.25">
      <c r="B18" s="122">
        <v>17</v>
      </c>
      <c r="C18" s="80"/>
      <c r="D18" s="94" t="s">
        <v>191</v>
      </c>
      <c r="E18" s="95"/>
      <c r="F18" s="98">
        <v>1000</v>
      </c>
      <c r="G18" s="94"/>
      <c r="H18" s="80"/>
      <c r="I18" s="94" t="s">
        <v>12</v>
      </c>
      <c r="J18" s="95"/>
      <c r="K18" s="98">
        <v>5600</v>
      </c>
      <c r="L18" s="94"/>
      <c r="AA18" s="156">
        <v>202</v>
      </c>
      <c r="AB18" s="134">
        <v>51</v>
      </c>
      <c r="AC18" s="134">
        <v>51</v>
      </c>
      <c r="AD18" s="134">
        <v>51</v>
      </c>
      <c r="AE18" s="134">
        <v>51</v>
      </c>
      <c r="AF18" s="134">
        <v>51</v>
      </c>
      <c r="AG18" s="134">
        <v>51</v>
      </c>
      <c r="AH18" s="134">
        <v>51</v>
      </c>
      <c r="AI18" s="134">
        <v>51</v>
      </c>
    </row>
    <row r="19" spans="2:35" ht="15.75" x14ac:dyDescent="0.25">
      <c r="B19" s="122">
        <v>18</v>
      </c>
      <c r="C19" s="80"/>
      <c r="D19" s="94" t="s">
        <v>192</v>
      </c>
      <c r="E19" s="95"/>
      <c r="F19" s="98">
        <v>1000</v>
      </c>
      <c r="G19" s="94"/>
      <c r="H19" s="80"/>
      <c r="I19" s="94" t="s">
        <v>13</v>
      </c>
      <c r="J19" s="95"/>
      <c r="K19" s="98">
        <v>6000</v>
      </c>
      <c r="L19" s="94"/>
      <c r="AA19" s="156">
        <v>203</v>
      </c>
      <c r="AB19" s="134">
        <v>52</v>
      </c>
      <c r="AC19" s="134">
        <v>52</v>
      </c>
      <c r="AD19" s="134">
        <v>52</v>
      </c>
      <c r="AE19" s="134">
        <v>52</v>
      </c>
      <c r="AF19" s="134">
        <v>52</v>
      </c>
      <c r="AG19" s="134">
        <v>52</v>
      </c>
      <c r="AH19" s="134">
        <v>52</v>
      </c>
      <c r="AI19" s="134">
        <v>52</v>
      </c>
    </row>
    <row r="20" spans="2:35" ht="15.75" x14ac:dyDescent="0.25">
      <c r="B20" s="122">
        <v>19</v>
      </c>
      <c r="C20" s="80"/>
      <c r="D20" s="94" t="s">
        <v>193</v>
      </c>
      <c r="E20" s="95"/>
      <c r="F20" s="98">
        <v>1000</v>
      </c>
      <c r="G20" s="94"/>
      <c r="H20" s="80"/>
      <c r="I20" s="94" t="s">
        <v>153</v>
      </c>
      <c r="J20" s="95"/>
      <c r="K20" s="98">
        <v>350</v>
      </c>
      <c r="L20" s="94"/>
      <c r="AA20" s="156">
        <v>204</v>
      </c>
      <c r="AB20" s="134">
        <v>53</v>
      </c>
      <c r="AC20" s="134">
        <v>53</v>
      </c>
      <c r="AD20" s="134">
        <v>53</v>
      </c>
      <c r="AE20" s="134">
        <v>53</v>
      </c>
      <c r="AF20" s="134">
        <v>53</v>
      </c>
      <c r="AG20" s="134">
        <v>53</v>
      </c>
      <c r="AH20" s="134">
        <v>53</v>
      </c>
      <c r="AI20" s="134">
        <v>53</v>
      </c>
    </row>
    <row r="21" spans="2:35" ht="15.75" x14ac:dyDescent="0.25">
      <c r="B21" s="122">
        <v>20</v>
      </c>
      <c r="C21" s="80"/>
      <c r="D21" s="94" t="s">
        <v>194</v>
      </c>
      <c r="E21" s="95" t="s">
        <v>186</v>
      </c>
      <c r="F21" s="99">
        <v>1000000000</v>
      </c>
      <c r="G21" s="94"/>
      <c r="H21" s="80"/>
      <c r="I21" s="94" t="s">
        <v>14</v>
      </c>
      <c r="J21" s="95" t="s">
        <v>137</v>
      </c>
      <c r="K21" s="99">
        <v>1000000000</v>
      </c>
      <c r="L21" s="94"/>
      <c r="AA21" s="156">
        <v>205</v>
      </c>
      <c r="AB21" s="134">
        <v>54</v>
      </c>
      <c r="AC21" s="134">
        <v>54</v>
      </c>
      <c r="AD21" s="134">
        <v>54</v>
      </c>
      <c r="AE21" s="134">
        <v>54</v>
      </c>
      <c r="AF21" s="134">
        <v>54</v>
      </c>
      <c r="AG21" s="134">
        <v>54</v>
      </c>
      <c r="AH21" s="134">
        <v>54</v>
      </c>
      <c r="AI21" s="134">
        <v>54</v>
      </c>
    </row>
    <row r="22" spans="2:35" ht="15.75" x14ac:dyDescent="0.25">
      <c r="B22" s="122">
        <v>21</v>
      </c>
      <c r="C22" s="80"/>
      <c r="D22" s="94" t="s">
        <v>195</v>
      </c>
      <c r="E22" s="95" t="s">
        <v>186</v>
      </c>
      <c r="F22" s="99">
        <v>1000000000</v>
      </c>
      <c r="G22" s="94"/>
      <c r="H22" s="80"/>
      <c r="I22" s="94" t="s">
        <v>15</v>
      </c>
      <c r="J22" s="95" t="s">
        <v>137</v>
      </c>
      <c r="K22" s="99">
        <v>1000000000</v>
      </c>
      <c r="L22" s="94"/>
      <c r="AA22" s="156">
        <v>206</v>
      </c>
      <c r="AB22" s="134">
        <v>55</v>
      </c>
      <c r="AC22" s="134">
        <v>55</v>
      </c>
      <c r="AD22" s="134">
        <v>55</v>
      </c>
      <c r="AE22" s="134">
        <v>55</v>
      </c>
      <c r="AF22" s="134">
        <v>55</v>
      </c>
      <c r="AG22" s="134">
        <v>55</v>
      </c>
      <c r="AH22" s="134">
        <v>55</v>
      </c>
      <c r="AI22" s="134">
        <v>55</v>
      </c>
    </row>
    <row r="23" spans="2:35" ht="15.75" x14ac:dyDescent="0.25">
      <c r="B23" s="122">
        <v>22</v>
      </c>
      <c r="C23" s="80"/>
      <c r="D23" s="94" t="s">
        <v>196</v>
      </c>
      <c r="E23" s="95"/>
      <c r="F23" s="96">
        <v>0.1</v>
      </c>
      <c r="G23" s="94"/>
      <c r="H23" s="80"/>
      <c r="I23" s="94" t="s">
        <v>142</v>
      </c>
      <c r="J23" s="95"/>
      <c r="K23" s="96">
        <v>0.1</v>
      </c>
      <c r="L23" s="94"/>
      <c r="AA23" s="156">
        <v>207</v>
      </c>
      <c r="AB23" s="134">
        <v>56</v>
      </c>
      <c r="AC23" s="134">
        <v>56</v>
      </c>
      <c r="AD23" s="134">
        <v>56</v>
      </c>
      <c r="AE23" s="134">
        <v>56</v>
      </c>
      <c r="AF23" s="134">
        <v>56</v>
      </c>
      <c r="AG23" s="134">
        <v>56</v>
      </c>
      <c r="AH23" s="134">
        <v>56</v>
      </c>
      <c r="AI23" s="134">
        <v>56</v>
      </c>
    </row>
    <row r="24" spans="2:35" ht="15.75" x14ac:dyDescent="0.25">
      <c r="B24" s="122">
        <v>23</v>
      </c>
      <c r="C24" s="80"/>
      <c r="D24" s="94" t="s">
        <v>197</v>
      </c>
      <c r="E24" s="95"/>
      <c r="F24" s="96">
        <v>0.1</v>
      </c>
      <c r="G24" s="94"/>
      <c r="H24" s="80"/>
      <c r="I24" s="94" t="s">
        <v>139</v>
      </c>
      <c r="J24" s="95"/>
      <c r="K24" s="96">
        <v>0.31</v>
      </c>
      <c r="L24" s="94"/>
      <c r="AA24" s="156">
        <v>208</v>
      </c>
      <c r="AB24" s="134">
        <v>57</v>
      </c>
      <c r="AC24" s="134">
        <v>57</v>
      </c>
      <c r="AD24" s="134">
        <v>57</v>
      </c>
      <c r="AE24" s="134">
        <v>57</v>
      </c>
      <c r="AF24" s="134">
        <v>57</v>
      </c>
      <c r="AG24" s="134">
        <v>57</v>
      </c>
      <c r="AH24" s="134">
        <v>57</v>
      </c>
      <c r="AI24" s="134">
        <v>57</v>
      </c>
    </row>
    <row r="25" spans="2:35" ht="15.75" x14ac:dyDescent="0.25">
      <c r="B25" s="122">
        <v>24</v>
      </c>
      <c r="C25" s="80"/>
      <c r="D25" s="94" t="s">
        <v>198</v>
      </c>
      <c r="E25" s="95"/>
      <c r="F25" s="96">
        <v>0.1</v>
      </c>
      <c r="G25" s="94"/>
      <c r="H25" s="80"/>
      <c r="I25" s="94" t="s">
        <v>174</v>
      </c>
      <c r="J25" s="95"/>
      <c r="K25" s="96">
        <v>0.26</v>
      </c>
      <c r="L25" s="94"/>
      <c r="AA25" s="156">
        <v>209</v>
      </c>
      <c r="AB25" s="134">
        <v>58</v>
      </c>
      <c r="AC25" s="134">
        <v>58</v>
      </c>
      <c r="AD25" s="134">
        <v>58</v>
      </c>
      <c r="AE25" s="134">
        <v>58</v>
      </c>
      <c r="AF25" s="134">
        <v>58</v>
      </c>
      <c r="AG25" s="134">
        <v>58</v>
      </c>
      <c r="AH25" s="134">
        <v>58</v>
      </c>
      <c r="AI25" s="134">
        <v>58</v>
      </c>
    </row>
    <row r="26" spans="2:35" ht="15.75" x14ac:dyDescent="0.25">
      <c r="B26" s="122">
        <v>25</v>
      </c>
      <c r="C26" s="80"/>
      <c r="D26" s="94" t="s">
        <v>199</v>
      </c>
      <c r="E26" s="95"/>
      <c r="F26" s="96">
        <v>0.1</v>
      </c>
      <c r="G26" s="94"/>
      <c r="H26" s="80"/>
      <c r="I26" s="94" t="s">
        <v>140</v>
      </c>
      <c r="J26" s="95"/>
      <c r="K26" s="96">
        <v>0.19</v>
      </c>
      <c r="L26" s="94"/>
      <c r="AA26" s="156">
        <v>210</v>
      </c>
      <c r="AB26" s="134">
        <v>59</v>
      </c>
      <c r="AC26" s="134">
        <v>59</v>
      </c>
      <c r="AD26" s="134">
        <v>59</v>
      </c>
      <c r="AE26" s="134">
        <v>59</v>
      </c>
      <c r="AF26" s="134">
        <v>59</v>
      </c>
      <c r="AG26" s="134">
        <v>59</v>
      </c>
      <c r="AH26" s="134">
        <v>59</v>
      </c>
      <c r="AI26" s="134">
        <v>59</v>
      </c>
    </row>
    <row r="27" spans="2:35" ht="15.75" x14ac:dyDescent="0.25">
      <c r="B27" s="122">
        <v>26</v>
      </c>
      <c r="C27" s="80"/>
      <c r="D27" s="100" t="s">
        <v>200</v>
      </c>
      <c r="E27" s="95"/>
      <c r="F27" s="96">
        <v>0.1</v>
      </c>
      <c r="G27" s="94"/>
      <c r="H27" s="80"/>
      <c r="I27" s="100" t="s">
        <v>143</v>
      </c>
      <c r="J27" s="95"/>
      <c r="K27" s="96">
        <v>0.19</v>
      </c>
      <c r="L27" s="94"/>
      <c r="AA27" s="156">
        <v>211</v>
      </c>
      <c r="AB27" s="134">
        <v>60</v>
      </c>
      <c r="AC27" s="134">
        <v>60</v>
      </c>
      <c r="AD27" s="134">
        <v>60</v>
      </c>
      <c r="AE27" s="134">
        <v>60</v>
      </c>
      <c r="AF27" s="134">
        <v>60</v>
      </c>
      <c r="AG27" s="134">
        <v>60</v>
      </c>
      <c r="AH27" s="134">
        <v>60</v>
      </c>
      <c r="AI27" s="134">
        <v>60</v>
      </c>
    </row>
    <row r="28" spans="2:35" ht="15.75" x14ac:dyDescent="0.25">
      <c r="B28" s="122">
        <v>27</v>
      </c>
      <c r="C28" s="80"/>
      <c r="D28" s="100" t="s">
        <v>201</v>
      </c>
      <c r="E28" s="95"/>
      <c r="F28" s="96">
        <v>0.1</v>
      </c>
      <c r="G28" s="94"/>
      <c r="H28" s="80"/>
      <c r="I28" s="94" t="s">
        <v>171</v>
      </c>
      <c r="J28" s="95"/>
      <c r="K28" s="96">
        <v>0.1</v>
      </c>
      <c r="L28" s="94"/>
      <c r="AA28" s="156">
        <v>212</v>
      </c>
      <c r="AB28" s="134">
        <v>61</v>
      </c>
      <c r="AC28" s="134">
        <v>61</v>
      </c>
      <c r="AD28" s="134">
        <v>61</v>
      </c>
      <c r="AE28" s="134">
        <v>61</v>
      </c>
      <c r="AF28" s="134">
        <v>61</v>
      </c>
      <c r="AG28" s="134">
        <v>61</v>
      </c>
      <c r="AH28" s="134">
        <v>61</v>
      </c>
      <c r="AI28" s="134">
        <v>61</v>
      </c>
    </row>
    <row r="29" spans="2:35" ht="15.75" x14ac:dyDescent="0.25">
      <c r="B29" s="122">
        <v>28</v>
      </c>
      <c r="C29" s="80"/>
      <c r="D29" s="100" t="s">
        <v>202</v>
      </c>
      <c r="E29" s="95"/>
      <c r="F29" s="96">
        <v>0.1</v>
      </c>
      <c r="G29" s="94"/>
      <c r="H29" s="80"/>
      <c r="I29" s="94" t="s">
        <v>141</v>
      </c>
      <c r="J29" s="95"/>
      <c r="K29" s="96">
        <v>0.16</v>
      </c>
      <c r="L29" s="94"/>
      <c r="AA29" s="156">
        <v>213</v>
      </c>
      <c r="AB29" s="134">
        <v>62</v>
      </c>
      <c r="AC29" s="134">
        <v>62</v>
      </c>
      <c r="AD29" s="134">
        <v>62</v>
      </c>
      <c r="AE29" s="134">
        <v>62</v>
      </c>
      <c r="AF29" s="134">
        <v>62</v>
      </c>
      <c r="AG29" s="134">
        <v>62</v>
      </c>
      <c r="AH29" s="134">
        <v>62</v>
      </c>
      <c r="AI29" s="134">
        <v>62</v>
      </c>
    </row>
    <row r="30" spans="2:35" ht="15.75" x14ac:dyDescent="0.25">
      <c r="B30" s="122">
        <v>29</v>
      </c>
      <c r="C30" s="80"/>
      <c r="D30" s="94" t="s">
        <v>203</v>
      </c>
      <c r="E30" s="95"/>
      <c r="F30" s="96">
        <v>0.1</v>
      </c>
      <c r="G30" s="94"/>
      <c r="H30" s="80"/>
      <c r="I30" s="94" t="s">
        <v>16</v>
      </c>
      <c r="J30" s="95"/>
      <c r="K30" s="96">
        <v>0.12</v>
      </c>
      <c r="L30" s="94"/>
      <c r="AA30" s="156">
        <v>214</v>
      </c>
      <c r="AB30" s="134">
        <v>63</v>
      </c>
      <c r="AC30" s="134">
        <v>63</v>
      </c>
      <c r="AD30" s="134">
        <v>63</v>
      </c>
      <c r="AE30" s="134">
        <v>63</v>
      </c>
      <c r="AF30" s="134">
        <v>63</v>
      </c>
      <c r="AG30" s="134">
        <v>63</v>
      </c>
      <c r="AH30" s="134">
        <v>63</v>
      </c>
      <c r="AI30" s="134">
        <v>63</v>
      </c>
    </row>
    <row r="31" spans="2:35" ht="15.75" x14ac:dyDescent="0.25">
      <c r="B31" s="122">
        <v>30</v>
      </c>
      <c r="C31" s="80"/>
      <c r="D31" s="94" t="s">
        <v>204</v>
      </c>
      <c r="E31" s="95"/>
      <c r="F31" s="96">
        <v>0.1</v>
      </c>
      <c r="G31" s="94"/>
      <c r="H31" s="80"/>
      <c r="I31" s="94" t="s">
        <v>138</v>
      </c>
      <c r="J31" s="95"/>
      <c r="K31" s="96">
        <v>0.11</v>
      </c>
      <c r="L31" s="94"/>
      <c r="AA31" s="156">
        <v>215</v>
      </c>
      <c r="AB31" s="134">
        <v>64</v>
      </c>
      <c r="AC31" s="134">
        <v>64</v>
      </c>
      <c r="AD31" s="134">
        <v>64</v>
      </c>
      <c r="AE31" s="134">
        <v>64</v>
      </c>
      <c r="AF31" s="134">
        <v>64</v>
      </c>
      <c r="AG31" s="134">
        <v>64</v>
      </c>
      <c r="AH31" s="134">
        <v>64</v>
      </c>
      <c r="AI31" s="134">
        <v>64</v>
      </c>
    </row>
    <row r="32" spans="2:35" ht="15.75" x14ac:dyDescent="0.25">
      <c r="B32" s="122">
        <v>31</v>
      </c>
      <c r="C32" s="80"/>
      <c r="D32" s="94" t="s">
        <v>205</v>
      </c>
      <c r="E32" s="95"/>
      <c r="F32" s="98">
        <v>50</v>
      </c>
      <c r="G32" s="94"/>
      <c r="H32" s="80"/>
      <c r="I32" s="94" t="s">
        <v>17</v>
      </c>
      <c r="J32" s="95"/>
      <c r="K32" s="98">
        <v>62</v>
      </c>
      <c r="L32" s="94"/>
      <c r="AA32" s="156">
        <v>216</v>
      </c>
      <c r="AB32" s="134">
        <v>65</v>
      </c>
      <c r="AC32" s="134">
        <v>65</v>
      </c>
      <c r="AD32" s="134">
        <v>65</v>
      </c>
      <c r="AE32" s="134">
        <v>65</v>
      </c>
      <c r="AF32" s="134">
        <v>65</v>
      </c>
      <c r="AG32" s="134">
        <v>65</v>
      </c>
      <c r="AH32" s="134">
        <v>65</v>
      </c>
      <c r="AI32" s="134">
        <v>65</v>
      </c>
    </row>
    <row r="33" spans="2:35" ht="15.75" x14ac:dyDescent="0.25">
      <c r="B33" s="122">
        <v>32</v>
      </c>
      <c r="C33" s="80"/>
      <c r="D33" s="94" t="s">
        <v>206</v>
      </c>
      <c r="E33" s="95" t="s">
        <v>186</v>
      </c>
      <c r="F33" s="101">
        <v>44442488</v>
      </c>
      <c r="G33" s="94"/>
      <c r="H33" s="80"/>
      <c r="I33" s="94" t="s">
        <v>18</v>
      </c>
      <c r="J33" s="95" t="s">
        <v>137</v>
      </c>
      <c r="K33" s="101">
        <v>44442488</v>
      </c>
      <c r="L33" s="94"/>
      <c r="AA33" s="156">
        <v>217</v>
      </c>
      <c r="AB33" s="134">
        <v>66</v>
      </c>
      <c r="AC33" s="134">
        <v>66</v>
      </c>
      <c r="AD33" s="134">
        <v>66</v>
      </c>
      <c r="AE33" s="134">
        <v>66</v>
      </c>
      <c r="AF33" s="134">
        <v>66</v>
      </c>
      <c r="AG33" s="134">
        <v>66</v>
      </c>
      <c r="AH33" s="134">
        <v>66</v>
      </c>
      <c r="AI33" s="134">
        <v>66</v>
      </c>
    </row>
    <row r="34" spans="2:35" ht="15.75" x14ac:dyDescent="0.25">
      <c r="B34" s="122">
        <v>33</v>
      </c>
      <c r="AA34" s="156">
        <v>218</v>
      </c>
      <c r="AB34" s="134">
        <v>67</v>
      </c>
      <c r="AC34" s="134">
        <v>67</v>
      </c>
      <c r="AD34" s="134">
        <v>67</v>
      </c>
      <c r="AE34" s="134">
        <v>67</v>
      </c>
      <c r="AF34" s="134">
        <v>67</v>
      </c>
      <c r="AG34" s="134">
        <v>67</v>
      </c>
      <c r="AH34" s="134">
        <v>67</v>
      </c>
      <c r="AI34" s="134">
        <v>67</v>
      </c>
    </row>
    <row r="35" spans="2:35" ht="16.5" thickBot="1" x14ac:dyDescent="0.3">
      <c r="B35" s="122">
        <v>34</v>
      </c>
      <c r="D35" s="24" t="s">
        <v>19</v>
      </c>
      <c r="E35" s="24" t="s">
        <v>213</v>
      </c>
      <c r="F35" s="25"/>
      <c r="G35" s="25"/>
      <c r="H35" s="25"/>
      <c r="I35" s="24"/>
      <c r="J35" s="25"/>
      <c r="K35" s="129" t="s">
        <v>214</v>
      </c>
      <c r="M35" s="24" t="s">
        <v>19</v>
      </c>
      <c r="N35" s="24" t="s">
        <v>20</v>
      </c>
      <c r="O35" s="25"/>
      <c r="P35" s="25"/>
      <c r="Q35" s="25"/>
      <c r="R35" s="24"/>
      <c r="S35" s="25"/>
      <c r="T35" s="74" t="s">
        <v>170</v>
      </c>
      <c r="AA35" s="156">
        <v>219</v>
      </c>
      <c r="AB35" s="134">
        <v>68</v>
      </c>
      <c r="AC35" s="134">
        <v>68</v>
      </c>
      <c r="AD35" s="134">
        <v>68</v>
      </c>
      <c r="AE35" s="134">
        <v>68</v>
      </c>
      <c r="AF35" s="134">
        <v>68</v>
      </c>
      <c r="AG35" s="134">
        <v>68</v>
      </c>
      <c r="AH35" s="134">
        <v>68</v>
      </c>
      <c r="AI35" s="134">
        <v>68</v>
      </c>
    </row>
    <row r="36" spans="2:35" ht="16.5" thickBot="1" x14ac:dyDescent="0.3">
      <c r="B36" s="122">
        <v>35</v>
      </c>
      <c r="D36" s="26" t="s">
        <v>21</v>
      </c>
      <c r="E36" s="26" t="s">
        <v>215</v>
      </c>
      <c r="F36" s="27"/>
      <c r="G36" s="27"/>
      <c r="H36" s="27"/>
      <c r="I36" s="26"/>
      <c r="J36" s="27"/>
      <c r="K36" s="27"/>
      <c r="M36" s="26" t="s">
        <v>21</v>
      </c>
      <c r="N36" s="26" t="s">
        <v>22</v>
      </c>
      <c r="O36" s="27"/>
      <c r="P36" s="27"/>
      <c r="Q36" s="27"/>
      <c r="R36" s="26"/>
      <c r="S36" s="27"/>
      <c r="T36" s="27"/>
      <c r="AA36" s="156">
        <v>220</v>
      </c>
      <c r="AB36" s="134">
        <v>69</v>
      </c>
      <c r="AC36" s="134">
        <v>69</v>
      </c>
      <c r="AD36" s="134">
        <v>69</v>
      </c>
      <c r="AE36" s="134">
        <v>69</v>
      </c>
      <c r="AF36" s="134">
        <v>69</v>
      </c>
      <c r="AG36" s="134">
        <v>69</v>
      </c>
      <c r="AH36" s="134">
        <v>69</v>
      </c>
      <c r="AI36" s="134">
        <v>69</v>
      </c>
    </row>
    <row r="37" spans="2:35" ht="15.75" x14ac:dyDescent="0.25">
      <c r="B37" s="122">
        <v>36</v>
      </c>
      <c r="D37" s="5"/>
      <c r="E37" s="5"/>
      <c r="F37" s="6"/>
      <c r="G37" s="6"/>
      <c r="H37" s="6"/>
      <c r="I37" s="5"/>
      <c r="J37" s="6"/>
      <c r="K37" s="6"/>
      <c r="M37" s="5"/>
      <c r="N37" s="5"/>
      <c r="O37" s="6"/>
      <c r="P37" s="6"/>
      <c r="Q37" s="6"/>
      <c r="R37" s="5"/>
      <c r="S37" s="6"/>
      <c r="T37" s="6"/>
      <c r="AA37" s="156">
        <v>221</v>
      </c>
      <c r="AB37" s="134">
        <v>70</v>
      </c>
      <c r="AC37" s="134">
        <v>70</v>
      </c>
      <c r="AD37" s="134">
        <v>70</v>
      </c>
      <c r="AE37" s="134">
        <v>70</v>
      </c>
      <c r="AF37" s="134">
        <v>70</v>
      </c>
      <c r="AG37" s="134">
        <v>70</v>
      </c>
      <c r="AH37" s="134">
        <v>70</v>
      </c>
      <c r="AI37" s="134">
        <v>70</v>
      </c>
    </row>
    <row r="38" spans="2:35" ht="15.75" x14ac:dyDescent="0.25">
      <c r="B38" s="122">
        <v>37</v>
      </c>
      <c r="D38" s="55"/>
      <c r="E38" s="28" t="s">
        <v>216</v>
      </c>
      <c r="F38" s="17"/>
      <c r="G38" s="14"/>
      <c r="H38" s="16"/>
      <c r="I38" s="15"/>
      <c r="J38" s="16"/>
      <c r="K38" s="16"/>
      <c r="M38" s="55"/>
      <c r="N38" s="28" t="s">
        <v>23</v>
      </c>
      <c r="O38" s="17"/>
      <c r="P38" s="14"/>
      <c r="Q38" s="16"/>
      <c r="R38" s="15"/>
      <c r="S38" s="16"/>
      <c r="T38" s="16"/>
      <c r="AA38" s="156">
        <v>222</v>
      </c>
      <c r="AB38" s="134">
        <v>71</v>
      </c>
      <c r="AC38" s="134">
        <v>71</v>
      </c>
      <c r="AD38" s="134">
        <v>71</v>
      </c>
      <c r="AE38" s="134">
        <v>71</v>
      </c>
      <c r="AF38" s="134">
        <v>71</v>
      </c>
      <c r="AG38" s="134">
        <v>71</v>
      </c>
      <c r="AH38" s="134">
        <v>71</v>
      </c>
      <c r="AI38" s="134">
        <v>71</v>
      </c>
    </row>
    <row r="39" spans="2:35" ht="15.75" x14ac:dyDescent="0.25">
      <c r="B39" s="122">
        <v>38</v>
      </c>
      <c r="D39" s="56"/>
      <c r="E39" s="22"/>
      <c r="F39" s="19" t="s">
        <v>217</v>
      </c>
      <c r="G39" s="20" t="s">
        <v>218</v>
      </c>
      <c r="H39" s="16"/>
      <c r="I39" s="15"/>
      <c r="J39" s="16"/>
      <c r="K39" s="16"/>
      <c r="M39" s="56"/>
      <c r="N39" s="22"/>
      <c r="O39" s="19" t="s">
        <v>24</v>
      </c>
      <c r="P39" s="20" t="s">
        <v>25</v>
      </c>
      <c r="Q39" s="16"/>
      <c r="R39" s="15"/>
      <c r="S39" s="16"/>
      <c r="T39" s="16"/>
      <c r="AA39" s="156">
        <v>223</v>
      </c>
      <c r="AB39" s="134">
        <v>72</v>
      </c>
      <c r="AC39" s="134">
        <v>72</v>
      </c>
      <c r="AD39" s="134">
        <v>72</v>
      </c>
      <c r="AE39" s="134">
        <v>72</v>
      </c>
      <c r="AF39" s="134">
        <v>72</v>
      </c>
      <c r="AG39" s="134">
        <v>72</v>
      </c>
      <c r="AH39" s="134">
        <v>72</v>
      </c>
      <c r="AI39" s="134">
        <v>72</v>
      </c>
    </row>
    <row r="40" spans="2:35" ht="15.75" x14ac:dyDescent="0.25">
      <c r="B40" s="122">
        <v>39</v>
      </c>
      <c r="D40" s="57" t="s">
        <v>129</v>
      </c>
      <c r="E40" s="53" t="s">
        <v>26</v>
      </c>
      <c r="F40" s="67">
        <f>SUM(F41:F42)</f>
        <v>500000000</v>
      </c>
      <c r="G40" s="10">
        <f>SUM(G41:G42)</f>
        <v>500</v>
      </c>
      <c r="H40" s="4"/>
      <c r="I40" s="2"/>
      <c r="J40" s="4"/>
      <c r="K40" s="4"/>
      <c r="M40" s="57" t="s">
        <v>129</v>
      </c>
      <c r="N40" s="53" t="s">
        <v>26</v>
      </c>
      <c r="O40" s="67">
        <f>SUM(O41:O42)</f>
        <v>14999999999</v>
      </c>
      <c r="P40" s="10">
        <f>SUM(P41:P42)</f>
        <v>100</v>
      </c>
      <c r="Q40" s="4"/>
      <c r="R40" s="2"/>
      <c r="S40" s="4"/>
      <c r="T40" s="4"/>
      <c r="AA40" s="156">
        <v>224</v>
      </c>
      <c r="AB40" s="134">
        <v>73</v>
      </c>
      <c r="AC40" s="134">
        <v>73</v>
      </c>
      <c r="AD40" s="134">
        <v>73</v>
      </c>
      <c r="AE40" s="134">
        <v>73</v>
      </c>
      <c r="AF40" s="134">
        <v>73</v>
      </c>
      <c r="AG40" s="134">
        <v>73</v>
      </c>
      <c r="AH40" s="134">
        <v>73</v>
      </c>
      <c r="AI40" s="134">
        <v>73</v>
      </c>
    </row>
    <row r="41" spans="2:35" ht="15.75" x14ac:dyDescent="0.25">
      <c r="B41" s="122">
        <v>40</v>
      </c>
      <c r="D41" s="57" t="s">
        <v>128</v>
      </c>
      <c r="E41" s="53" t="s">
        <v>219</v>
      </c>
      <c r="F41" s="67">
        <v>350000000</v>
      </c>
      <c r="G41" s="10">
        <v>250</v>
      </c>
      <c r="H41" s="4"/>
      <c r="I41" s="2"/>
      <c r="J41" s="4"/>
      <c r="K41" s="4"/>
      <c r="M41" s="57" t="s">
        <v>128</v>
      </c>
      <c r="N41" s="53" t="s">
        <v>123</v>
      </c>
      <c r="O41" s="67">
        <v>5000000000</v>
      </c>
      <c r="P41" s="10">
        <v>100</v>
      </c>
      <c r="Q41" s="4"/>
      <c r="R41" s="2"/>
      <c r="S41" s="4"/>
      <c r="T41" s="4"/>
      <c r="AA41" s="156">
        <v>225</v>
      </c>
      <c r="AB41" s="134">
        <v>74</v>
      </c>
      <c r="AC41" s="134">
        <v>74</v>
      </c>
      <c r="AD41" s="134">
        <v>74</v>
      </c>
      <c r="AE41" s="134">
        <v>74</v>
      </c>
      <c r="AF41" s="134">
        <v>74</v>
      </c>
      <c r="AG41" s="134">
        <v>74</v>
      </c>
      <c r="AH41" s="134">
        <v>74</v>
      </c>
      <c r="AI41" s="134">
        <v>74</v>
      </c>
    </row>
    <row r="42" spans="2:35" ht="15.75" x14ac:dyDescent="0.25">
      <c r="B42" s="122">
        <v>41</v>
      </c>
      <c r="D42" s="57" t="s">
        <v>130</v>
      </c>
      <c r="E42" s="53" t="s">
        <v>220</v>
      </c>
      <c r="F42" s="67">
        <v>150000000</v>
      </c>
      <c r="G42" s="10">
        <v>250</v>
      </c>
      <c r="H42" s="4"/>
      <c r="I42" s="2"/>
      <c r="J42" s="4"/>
      <c r="K42" s="4"/>
      <c r="M42" s="57" t="s">
        <v>130</v>
      </c>
      <c r="N42" s="53" t="s">
        <v>124</v>
      </c>
      <c r="O42" s="67">
        <v>9999999999</v>
      </c>
      <c r="P42" s="10">
        <v>0</v>
      </c>
      <c r="Q42" s="4"/>
      <c r="R42" s="2"/>
      <c r="S42" s="4"/>
      <c r="T42" s="4"/>
      <c r="AA42" s="156">
        <v>226</v>
      </c>
      <c r="AB42" s="134">
        <v>75</v>
      </c>
      <c r="AC42" s="134">
        <v>75</v>
      </c>
      <c r="AD42" s="134">
        <v>75</v>
      </c>
      <c r="AE42" s="134">
        <v>75</v>
      </c>
      <c r="AF42" s="134">
        <v>75</v>
      </c>
      <c r="AG42" s="134">
        <v>75</v>
      </c>
      <c r="AH42" s="134">
        <v>75</v>
      </c>
      <c r="AI42" s="134">
        <v>75</v>
      </c>
    </row>
    <row r="43" spans="2:35" ht="15.75" x14ac:dyDescent="0.25">
      <c r="B43" s="122">
        <v>42</v>
      </c>
      <c r="D43" s="57"/>
      <c r="E43" s="30" t="s">
        <v>27</v>
      </c>
      <c r="F43" s="67">
        <f>SUM(F44:F46)</f>
        <v>700000000</v>
      </c>
      <c r="G43" s="10">
        <f>SUM(G44:G46)</f>
        <v>700</v>
      </c>
      <c r="H43" s="4"/>
      <c r="I43" s="2"/>
      <c r="J43" s="4"/>
      <c r="K43" s="4"/>
      <c r="M43" s="57"/>
      <c r="N43" s="30" t="s">
        <v>27</v>
      </c>
      <c r="O43" s="67">
        <f>SUM(O44:O46)</f>
        <v>20051499998</v>
      </c>
      <c r="P43" s="10">
        <f>SUM(P44:P46)</f>
        <v>100</v>
      </c>
      <c r="Q43" s="4"/>
      <c r="R43" s="2"/>
      <c r="S43" s="4"/>
      <c r="T43" s="4"/>
      <c r="AA43" s="156">
        <v>227</v>
      </c>
      <c r="AB43" s="134">
        <v>76</v>
      </c>
      <c r="AC43" s="134">
        <v>76</v>
      </c>
      <c r="AD43" s="134">
        <v>76</v>
      </c>
      <c r="AE43" s="134">
        <v>76</v>
      </c>
      <c r="AF43" s="134">
        <v>76</v>
      </c>
      <c r="AG43" s="134">
        <v>76</v>
      </c>
      <c r="AH43" s="134">
        <v>76</v>
      </c>
      <c r="AI43" s="134">
        <v>76</v>
      </c>
    </row>
    <row r="44" spans="2:35" ht="15.75" x14ac:dyDescent="0.25">
      <c r="B44" s="122">
        <v>43</v>
      </c>
      <c r="D44" s="57" t="s">
        <v>131</v>
      </c>
      <c r="E44" s="30" t="s">
        <v>221</v>
      </c>
      <c r="F44" s="67">
        <v>140000000</v>
      </c>
      <c r="G44" s="10">
        <v>140</v>
      </c>
      <c r="H44" s="4"/>
      <c r="I44" s="2"/>
      <c r="J44" s="4"/>
      <c r="K44" s="4"/>
      <c r="M44" s="57" t="s">
        <v>131</v>
      </c>
      <c r="N44" s="30" t="s">
        <v>125</v>
      </c>
      <c r="O44" s="67">
        <v>9999999999</v>
      </c>
      <c r="P44" s="10">
        <v>0</v>
      </c>
      <c r="Q44" s="4"/>
      <c r="R44" s="2"/>
      <c r="S44" s="4"/>
      <c r="T44" s="4"/>
      <c r="AA44" s="156">
        <v>228</v>
      </c>
      <c r="AB44" s="134">
        <v>77</v>
      </c>
      <c r="AC44" s="134">
        <v>77</v>
      </c>
      <c r="AD44" s="134">
        <v>77</v>
      </c>
      <c r="AE44" s="134">
        <v>77</v>
      </c>
      <c r="AF44" s="134">
        <v>77</v>
      </c>
      <c r="AG44" s="134">
        <v>77</v>
      </c>
      <c r="AH44" s="134">
        <v>77</v>
      </c>
      <c r="AI44" s="134">
        <v>77</v>
      </c>
    </row>
    <row r="45" spans="2:35" ht="15.75" x14ac:dyDescent="0.25">
      <c r="B45" s="122">
        <v>44</v>
      </c>
      <c r="D45" s="57" t="s">
        <v>132</v>
      </c>
      <c r="E45" s="30" t="s">
        <v>222</v>
      </c>
      <c r="F45" s="67">
        <v>350000000</v>
      </c>
      <c r="G45" s="10">
        <v>350</v>
      </c>
      <c r="H45" s="4"/>
      <c r="I45" s="2"/>
      <c r="J45" s="4"/>
      <c r="K45" s="4"/>
      <c r="M45" s="57" t="s">
        <v>132</v>
      </c>
      <c r="N45" s="30" t="s">
        <v>126</v>
      </c>
      <c r="O45" s="67">
        <v>51500000</v>
      </c>
      <c r="P45" s="10">
        <v>100</v>
      </c>
      <c r="Q45" s="4"/>
      <c r="R45" s="2"/>
      <c r="S45" s="4"/>
      <c r="T45" s="4"/>
      <c r="AA45" s="156">
        <v>229</v>
      </c>
      <c r="AB45" s="134">
        <v>78</v>
      </c>
      <c r="AC45" s="134">
        <v>78</v>
      </c>
      <c r="AD45" s="134">
        <v>78</v>
      </c>
      <c r="AE45" s="134">
        <v>78</v>
      </c>
      <c r="AF45" s="134">
        <v>78</v>
      </c>
      <c r="AG45" s="134">
        <v>78</v>
      </c>
      <c r="AH45" s="134">
        <v>78</v>
      </c>
      <c r="AI45" s="134">
        <v>78</v>
      </c>
    </row>
    <row r="46" spans="2:35" ht="15.75" x14ac:dyDescent="0.25">
      <c r="B46" s="122">
        <v>45</v>
      </c>
      <c r="D46" s="57" t="s">
        <v>133</v>
      </c>
      <c r="E46" s="30" t="s">
        <v>223</v>
      </c>
      <c r="F46" s="67">
        <v>210000000</v>
      </c>
      <c r="G46" s="10">
        <v>210</v>
      </c>
      <c r="H46" s="4"/>
      <c r="I46" s="2"/>
      <c r="J46" s="4"/>
      <c r="K46" s="4"/>
      <c r="M46" s="57" t="s">
        <v>133</v>
      </c>
      <c r="N46" s="30" t="s">
        <v>127</v>
      </c>
      <c r="O46" s="67">
        <v>9999999999</v>
      </c>
      <c r="P46" s="10">
        <v>0</v>
      </c>
      <c r="Q46" s="4"/>
      <c r="R46" s="2"/>
      <c r="S46" s="4"/>
      <c r="T46" s="4"/>
      <c r="AA46" s="156">
        <v>230</v>
      </c>
      <c r="AB46" s="134">
        <v>79</v>
      </c>
      <c r="AC46" s="134">
        <v>79</v>
      </c>
      <c r="AD46" s="134">
        <v>79</v>
      </c>
      <c r="AE46" s="134">
        <v>79</v>
      </c>
      <c r="AF46" s="134">
        <v>79</v>
      </c>
      <c r="AG46" s="134">
        <v>79</v>
      </c>
      <c r="AH46" s="134">
        <v>79</v>
      </c>
      <c r="AI46" s="134">
        <v>79</v>
      </c>
    </row>
    <row r="47" spans="2:35" ht="15.75" x14ac:dyDescent="0.25">
      <c r="B47" s="122">
        <v>46</v>
      </c>
      <c r="D47" s="57" t="s">
        <v>134</v>
      </c>
      <c r="E47" s="30" t="s">
        <v>29</v>
      </c>
      <c r="F47" s="67">
        <v>200000000</v>
      </c>
      <c r="G47" s="10">
        <v>150</v>
      </c>
      <c r="H47" s="4"/>
      <c r="I47" s="2"/>
      <c r="J47" s="4"/>
      <c r="K47" s="4"/>
      <c r="M47" s="57" t="s">
        <v>134</v>
      </c>
      <c r="N47" s="30" t="s">
        <v>29</v>
      </c>
      <c r="O47" s="67">
        <v>9999999999</v>
      </c>
      <c r="P47" s="10">
        <v>100</v>
      </c>
      <c r="Q47" s="4"/>
      <c r="R47" s="2"/>
      <c r="S47" s="4"/>
      <c r="T47" s="4"/>
      <c r="AA47" s="156">
        <v>231</v>
      </c>
      <c r="AB47" s="134">
        <v>80</v>
      </c>
      <c r="AC47" s="134">
        <v>80</v>
      </c>
      <c r="AD47" s="134">
        <v>80</v>
      </c>
      <c r="AE47" s="134">
        <v>80</v>
      </c>
      <c r="AF47" s="134">
        <v>80</v>
      </c>
      <c r="AG47" s="134">
        <v>80</v>
      </c>
      <c r="AH47" s="134">
        <v>80</v>
      </c>
      <c r="AI47" s="134">
        <v>80</v>
      </c>
    </row>
    <row r="48" spans="2:35" ht="15.75" x14ac:dyDescent="0.25">
      <c r="B48" s="122">
        <v>47</v>
      </c>
      <c r="D48" s="55"/>
      <c r="E48" s="54" t="s">
        <v>224</v>
      </c>
      <c r="F48" s="68">
        <f>F40+F43+F47</f>
        <v>1400000000</v>
      </c>
      <c r="G48" s="37">
        <f>G40+G43+G47</f>
        <v>1350</v>
      </c>
      <c r="H48" s="16"/>
      <c r="I48" s="15"/>
      <c r="J48" s="16"/>
      <c r="K48" s="16"/>
      <c r="M48" s="55"/>
      <c r="N48" s="54" t="s">
        <v>30</v>
      </c>
      <c r="O48" s="68">
        <f>O40+O43+O47</f>
        <v>45051499996</v>
      </c>
      <c r="P48" s="37">
        <f>P47+P43+P40</f>
        <v>300</v>
      </c>
      <c r="Q48" s="16"/>
      <c r="R48" s="15"/>
      <c r="S48" s="16"/>
      <c r="T48" s="16"/>
      <c r="AA48" s="156">
        <v>232</v>
      </c>
      <c r="AB48" s="134">
        <v>81</v>
      </c>
      <c r="AC48" s="134">
        <v>81</v>
      </c>
      <c r="AD48" s="134">
        <v>81</v>
      </c>
      <c r="AE48" s="134">
        <v>81</v>
      </c>
      <c r="AF48" s="134">
        <v>81</v>
      </c>
      <c r="AG48" s="134">
        <v>81</v>
      </c>
      <c r="AH48" s="134">
        <v>81</v>
      </c>
      <c r="AI48" s="134">
        <v>81</v>
      </c>
    </row>
    <row r="49" spans="2:35" ht="15.75" x14ac:dyDescent="0.25">
      <c r="B49" s="122">
        <v>48</v>
      </c>
      <c r="D49" s="2"/>
      <c r="E49" s="2"/>
      <c r="F49" s="4"/>
      <c r="G49" s="4"/>
      <c r="H49" s="4"/>
      <c r="I49" s="2"/>
      <c r="J49" s="4"/>
      <c r="K49" s="4"/>
      <c r="M49" s="2"/>
      <c r="N49" s="2"/>
      <c r="O49" s="4"/>
      <c r="P49" s="4"/>
      <c r="Q49" s="4"/>
      <c r="R49" s="2"/>
      <c r="S49" s="4"/>
      <c r="T49" s="4"/>
      <c r="AA49" s="156">
        <v>233</v>
      </c>
      <c r="AB49" s="134">
        <v>82</v>
      </c>
      <c r="AC49" s="134">
        <v>82</v>
      </c>
      <c r="AD49" s="134">
        <v>82</v>
      </c>
      <c r="AE49" s="134">
        <v>82</v>
      </c>
      <c r="AF49" s="134">
        <v>82</v>
      </c>
      <c r="AG49" s="134">
        <v>82</v>
      </c>
      <c r="AH49" s="134">
        <v>82</v>
      </c>
      <c r="AI49" s="134">
        <v>82</v>
      </c>
    </row>
    <row r="50" spans="2:35" ht="16.5" thickBot="1" x14ac:dyDescent="0.3">
      <c r="B50" s="122">
        <v>49</v>
      </c>
      <c r="D50" s="24" t="s">
        <v>31</v>
      </c>
      <c r="E50" s="24" t="s">
        <v>225</v>
      </c>
      <c r="F50" s="25"/>
      <c r="G50" s="25"/>
      <c r="H50" s="25"/>
      <c r="I50" s="24"/>
      <c r="J50" s="25"/>
      <c r="K50" s="25"/>
      <c r="M50" s="24" t="s">
        <v>31</v>
      </c>
      <c r="N50" s="24" t="s">
        <v>32</v>
      </c>
      <c r="O50" s="25"/>
      <c r="P50" s="25"/>
      <c r="Q50" s="25"/>
      <c r="R50" s="24"/>
      <c r="S50" s="25"/>
      <c r="T50" s="25"/>
      <c r="AA50" s="156">
        <v>234</v>
      </c>
      <c r="AB50" s="134">
        <v>83</v>
      </c>
      <c r="AC50" s="134">
        <v>83</v>
      </c>
      <c r="AD50" s="134">
        <v>83</v>
      </c>
      <c r="AE50" s="134">
        <v>83</v>
      </c>
      <c r="AF50" s="134">
        <v>83</v>
      </c>
      <c r="AG50" s="134">
        <v>83</v>
      </c>
      <c r="AH50" s="134">
        <v>83</v>
      </c>
      <c r="AI50" s="134">
        <v>83</v>
      </c>
    </row>
    <row r="51" spans="2:35" ht="15.75" x14ac:dyDescent="0.25">
      <c r="B51" s="122">
        <v>50</v>
      </c>
      <c r="D51" s="2"/>
      <c r="E51" s="2"/>
      <c r="F51" s="4"/>
      <c r="G51" s="4"/>
      <c r="H51" s="4"/>
      <c r="I51" s="2"/>
      <c r="J51" s="4"/>
      <c r="K51" s="4"/>
      <c r="M51" s="2"/>
      <c r="N51" s="2"/>
      <c r="O51" s="4"/>
      <c r="P51" s="4"/>
      <c r="Q51" s="4"/>
      <c r="R51" s="2"/>
      <c r="S51" s="4"/>
      <c r="T51" s="4"/>
      <c r="AA51" s="156">
        <v>235</v>
      </c>
      <c r="AB51" s="134">
        <v>84</v>
      </c>
      <c r="AC51" s="134">
        <v>84</v>
      </c>
      <c r="AD51" s="134">
        <v>84</v>
      </c>
      <c r="AE51" s="134">
        <v>84</v>
      </c>
      <c r="AF51" s="134">
        <v>84</v>
      </c>
      <c r="AG51" s="134">
        <v>84</v>
      </c>
      <c r="AH51" s="134">
        <v>84</v>
      </c>
      <c r="AI51" s="134">
        <v>84</v>
      </c>
    </row>
    <row r="52" spans="2:35" ht="15.75" x14ac:dyDescent="0.25">
      <c r="B52" s="122">
        <v>51</v>
      </c>
      <c r="D52" s="15"/>
      <c r="E52" s="12" t="s">
        <v>226</v>
      </c>
      <c r="F52" s="119"/>
      <c r="G52" s="120" t="s">
        <v>217</v>
      </c>
      <c r="H52" s="16"/>
      <c r="I52" s="15"/>
      <c r="J52" s="16"/>
      <c r="K52" s="16"/>
      <c r="M52" s="15"/>
      <c r="N52" s="12" t="s">
        <v>33</v>
      </c>
      <c r="O52" s="127"/>
      <c r="P52" s="128" t="s">
        <v>24</v>
      </c>
      <c r="Q52" s="16"/>
      <c r="R52" s="15"/>
      <c r="S52" s="16"/>
      <c r="T52" s="16"/>
      <c r="AA52" s="156">
        <v>236</v>
      </c>
      <c r="AB52" s="134">
        <v>85</v>
      </c>
      <c r="AC52" s="134">
        <v>85</v>
      </c>
      <c r="AD52" s="134">
        <v>85</v>
      </c>
      <c r="AE52" s="134">
        <v>85</v>
      </c>
      <c r="AF52" s="134">
        <v>85</v>
      </c>
      <c r="AG52" s="134">
        <v>85</v>
      </c>
      <c r="AH52" s="134">
        <v>85</v>
      </c>
      <c r="AI52" s="134">
        <v>85</v>
      </c>
    </row>
    <row r="53" spans="2:35" ht="15.75" x14ac:dyDescent="0.25">
      <c r="B53" s="122">
        <v>52</v>
      </c>
      <c r="D53" s="15"/>
      <c r="E53" s="7" t="s">
        <v>227</v>
      </c>
      <c r="F53" s="8"/>
      <c r="G53" s="9" t="s">
        <v>228</v>
      </c>
      <c r="H53" s="16"/>
      <c r="I53" s="15"/>
      <c r="J53" s="16"/>
      <c r="K53" s="16"/>
      <c r="M53" s="15"/>
      <c r="N53" s="7" t="s">
        <v>145</v>
      </c>
      <c r="O53" s="8"/>
      <c r="P53" s="70" t="s">
        <v>136</v>
      </c>
      <c r="Q53" s="16"/>
      <c r="R53" s="15"/>
      <c r="S53" s="16"/>
      <c r="T53" s="16"/>
      <c r="AA53" s="156">
        <v>237</v>
      </c>
      <c r="AB53" s="134">
        <v>86</v>
      </c>
      <c r="AC53" s="134">
        <v>86</v>
      </c>
      <c r="AD53" s="134">
        <v>86</v>
      </c>
      <c r="AE53" s="134">
        <v>86</v>
      </c>
      <c r="AF53" s="134">
        <v>86</v>
      </c>
      <c r="AG53" s="134">
        <v>86</v>
      </c>
      <c r="AH53" s="134">
        <v>86</v>
      </c>
      <c r="AI53" s="134">
        <v>86</v>
      </c>
    </row>
    <row r="54" spans="2:35" ht="15.75" x14ac:dyDescent="0.25">
      <c r="B54" s="122">
        <v>53</v>
      </c>
      <c r="D54" s="2"/>
      <c r="E54" s="7" t="s">
        <v>229</v>
      </c>
      <c r="F54" s="8"/>
      <c r="G54" s="9">
        <v>0</v>
      </c>
      <c r="H54" s="4"/>
      <c r="I54" s="2"/>
      <c r="J54" s="4"/>
      <c r="K54" s="4"/>
      <c r="M54" s="2"/>
      <c r="N54" s="7" t="s">
        <v>144</v>
      </c>
      <c r="O54" s="8"/>
      <c r="P54" s="69">
        <v>8000000000</v>
      </c>
      <c r="Q54" s="4"/>
      <c r="R54" s="2"/>
      <c r="S54" s="4"/>
      <c r="T54" s="4"/>
      <c r="AA54" s="156">
        <v>238</v>
      </c>
      <c r="AB54" s="134">
        <v>87</v>
      </c>
      <c r="AC54" s="134">
        <v>87</v>
      </c>
      <c r="AD54" s="134">
        <v>87</v>
      </c>
      <c r="AE54" s="134">
        <v>87</v>
      </c>
      <c r="AF54" s="134">
        <v>87</v>
      </c>
      <c r="AG54" s="134">
        <v>87</v>
      </c>
      <c r="AH54" s="134">
        <v>87</v>
      </c>
      <c r="AI54" s="134">
        <v>87</v>
      </c>
    </row>
    <row r="55" spans="2:35" ht="15.75" x14ac:dyDescent="0.25">
      <c r="B55" s="122">
        <v>54</v>
      </c>
      <c r="D55" s="2"/>
      <c r="E55" s="2"/>
      <c r="F55" s="4"/>
      <c r="G55" s="4"/>
      <c r="H55" s="4"/>
      <c r="I55" s="2"/>
      <c r="J55" s="4"/>
      <c r="K55" s="4"/>
      <c r="M55" s="2"/>
      <c r="N55" s="2"/>
      <c r="O55" s="4"/>
      <c r="P55" s="4"/>
      <c r="Q55" s="4"/>
      <c r="R55" s="2"/>
      <c r="S55" s="4"/>
      <c r="T55" s="4"/>
      <c r="AA55" s="156">
        <v>239</v>
      </c>
      <c r="AB55" s="134">
        <v>88</v>
      </c>
      <c r="AC55" s="134">
        <v>88</v>
      </c>
      <c r="AD55" s="134">
        <v>88</v>
      </c>
      <c r="AE55" s="134">
        <v>88</v>
      </c>
      <c r="AF55" s="134">
        <v>88</v>
      </c>
      <c r="AG55" s="134">
        <v>88</v>
      </c>
      <c r="AH55" s="134">
        <v>88</v>
      </c>
      <c r="AI55" s="134">
        <v>88</v>
      </c>
    </row>
    <row r="56" spans="2:35" ht="15.75" x14ac:dyDescent="0.25">
      <c r="B56" s="122">
        <v>55</v>
      </c>
      <c r="D56" s="15"/>
      <c r="E56" s="13" t="s">
        <v>230</v>
      </c>
      <c r="F56" s="119"/>
      <c r="G56" s="14" t="s">
        <v>217</v>
      </c>
      <c r="H56" s="16"/>
      <c r="I56" s="13" t="s">
        <v>231</v>
      </c>
      <c r="J56" s="119"/>
      <c r="K56" s="14" t="s">
        <v>217</v>
      </c>
      <c r="M56" s="15"/>
      <c r="N56" s="13" t="s">
        <v>34</v>
      </c>
      <c r="O56" s="127"/>
      <c r="P56" s="14" t="s">
        <v>24</v>
      </c>
      <c r="Q56" s="16"/>
      <c r="R56" s="13" t="s">
        <v>39</v>
      </c>
      <c r="S56" s="127"/>
      <c r="T56" s="14" t="s">
        <v>24</v>
      </c>
      <c r="AA56" s="156">
        <v>240</v>
      </c>
      <c r="AB56" s="134">
        <v>89</v>
      </c>
      <c r="AC56" s="134">
        <v>89</v>
      </c>
      <c r="AD56" s="134">
        <v>89</v>
      </c>
      <c r="AE56" s="134">
        <v>89</v>
      </c>
      <c r="AF56" s="134">
        <v>89</v>
      </c>
      <c r="AG56" s="134">
        <v>89</v>
      </c>
      <c r="AH56" s="134">
        <v>89</v>
      </c>
      <c r="AI56" s="134">
        <v>89</v>
      </c>
    </row>
    <row r="57" spans="2:35" ht="15.75" x14ac:dyDescent="0.25">
      <c r="B57" s="122">
        <v>56</v>
      </c>
      <c r="D57" s="2"/>
      <c r="E57" s="7" t="s">
        <v>35</v>
      </c>
      <c r="F57" s="8"/>
      <c r="G57" s="69">
        <v>700000000</v>
      </c>
      <c r="H57" s="4"/>
      <c r="I57" s="7" t="s">
        <v>35</v>
      </c>
      <c r="J57" s="8"/>
      <c r="K57" s="69">
        <v>700000000</v>
      </c>
      <c r="M57" s="2"/>
      <c r="N57" s="7" t="s">
        <v>35</v>
      </c>
      <c r="O57" s="8"/>
      <c r="P57" s="69">
        <v>80000000</v>
      </c>
      <c r="Q57" s="4"/>
      <c r="R57" s="7" t="s">
        <v>35</v>
      </c>
      <c r="S57" s="8"/>
      <c r="T57" s="69">
        <v>60000000</v>
      </c>
      <c r="AA57" s="156">
        <v>241</v>
      </c>
      <c r="AB57" s="134">
        <v>90</v>
      </c>
      <c r="AC57" s="134">
        <v>90</v>
      </c>
      <c r="AD57" s="134">
        <v>90</v>
      </c>
      <c r="AE57" s="134">
        <v>90</v>
      </c>
      <c r="AF57" s="134">
        <v>90</v>
      </c>
      <c r="AG57" s="134">
        <v>90</v>
      </c>
      <c r="AH57" s="134">
        <v>90</v>
      </c>
      <c r="AI57" s="134">
        <v>90</v>
      </c>
    </row>
    <row r="58" spans="2:35" ht="15.75" x14ac:dyDescent="0.25">
      <c r="B58" s="122">
        <v>57</v>
      </c>
      <c r="D58" s="2"/>
      <c r="E58" s="7" t="s">
        <v>36</v>
      </c>
      <c r="F58" s="8"/>
      <c r="G58" s="69">
        <v>140000000</v>
      </c>
      <c r="H58" s="4"/>
      <c r="I58" s="7" t="s">
        <v>36</v>
      </c>
      <c r="J58" s="8"/>
      <c r="K58" s="69">
        <v>140000000</v>
      </c>
      <c r="M58" s="2"/>
      <c r="N58" s="7" t="s">
        <v>36</v>
      </c>
      <c r="O58" s="8"/>
      <c r="P58" s="69">
        <v>80000000</v>
      </c>
      <c r="Q58" s="4"/>
      <c r="R58" s="7" t="s">
        <v>36</v>
      </c>
      <c r="S58" s="8"/>
      <c r="T58" s="69">
        <v>60000000</v>
      </c>
      <c r="AA58" s="156">
        <v>242</v>
      </c>
      <c r="AB58" s="134">
        <v>91</v>
      </c>
      <c r="AC58" s="134">
        <v>91</v>
      </c>
      <c r="AD58" s="134">
        <v>91</v>
      </c>
      <c r="AE58" s="134">
        <v>91</v>
      </c>
      <c r="AF58" s="134">
        <v>91</v>
      </c>
      <c r="AG58" s="134">
        <v>91</v>
      </c>
      <c r="AH58" s="134">
        <v>91</v>
      </c>
      <c r="AI58" s="134">
        <v>91</v>
      </c>
    </row>
    <row r="59" spans="2:35" ht="15.75" x14ac:dyDescent="0.25">
      <c r="B59" s="122">
        <v>58</v>
      </c>
      <c r="D59" s="2"/>
      <c r="E59" s="7" t="s">
        <v>37</v>
      </c>
      <c r="F59" s="8"/>
      <c r="G59" s="69">
        <v>350000000</v>
      </c>
      <c r="H59" s="4"/>
      <c r="I59" s="7" t="s">
        <v>37</v>
      </c>
      <c r="J59" s="8"/>
      <c r="K59" s="69">
        <v>350000000</v>
      </c>
      <c r="M59" s="2"/>
      <c r="N59" s="7" t="s">
        <v>37</v>
      </c>
      <c r="O59" s="8"/>
      <c r="P59" s="69">
        <v>90000000</v>
      </c>
      <c r="Q59" s="4"/>
      <c r="R59" s="7" t="s">
        <v>37</v>
      </c>
      <c r="S59" s="8"/>
      <c r="T59" s="69">
        <v>80000000</v>
      </c>
      <c r="AA59" s="156">
        <v>243</v>
      </c>
      <c r="AB59" s="134">
        <v>92</v>
      </c>
      <c r="AC59" s="134">
        <v>92</v>
      </c>
      <c r="AD59" s="134">
        <v>92</v>
      </c>
      <c r="AE59" s="134">
        <v>92</v>
      </c>
      <c r="AF59" s="134">
        <v>92</v>
      </c>
      <c r="AG59" s="134">
        <v>92</v>
      </c>
      <c r="AH59" s="134">
        <v>92</v>
      </c>
      <c r="AI59" s="134">
        <v>92</v>
      </c>
    </row>
    <row r="60" spans="2:35" ht="15.75" x14ac:dyDescent="0.25">
      <c r="B60" s="122">
        <v>59</v>
      </c>
      <c r="D60" s="2"/>
      <c r="E60" s="7" t="s">
        <v>166</v>
      </c>
      <c r="F60" s="8"/>
      <c r="G60" s="69">
        <v>210000000</v>
      </c>
      <c r="H60" s="4"/>
      <c r="I60" s="7" t="s">
        <v>166</v>
      </c>
      <c r="J60" s="8"/>
      <c r="K60" s="69">
        <v>210000000</v>
      </c>
      <c r="M60" s="2"/>
      <c r="N60" s="7" t="s">
        <v>166</v>
      </c>
      <c r="O60" s="8"/>
      <c r="P60" s="69">
        <v>30000000</v>
      </c>
      <c r="Q60" s="4"/>
      <c r="R60" s="7" t="s">
        <v>166</v>
      </c>
      <c r="S60" s="8"/>
      <c r="T60" s="69">
        <v>80000000</v>
      </c>
      <c r="AA60" s="156">
        <v>244</v>
      </c>
      <c r="AB60" s="134">
        <v>93</v>
      </c>
      <c r="AC60" s="134">
        <v>93</v>
      </c>
      <c r="AD60" s="134">
        <v>93</v>
      </c>
      <c r="AE60" s="134">
        <v>93</v>
      </c>
      <c r="AF60" s="134">
        <v>93</v>
      </c>
      <c r="AG60" s="134">
        <v>93</v>
      </c>
      <c r="AH60" s="134">
        <v>93</v>
      </c>
      <c r="AI60" s="134">
        <v>93</v>
      </c>
    </row>
    <row r="61" spans="2:35" ht="15.75" x14ac:dyDescent="0.25">
      <c r="B61" s="122">
        <v>60</v>
      </c>
      <c r="D61" s="2"/>
      <c r="E61" s="7" t="s">
        <v>232</v>
      </c>
      <c r="F61" s="8"/>
      <c r="G61" s="69">
        <v>200000000</v>
      </c>
      <c r="H61" s="4"/>
      <c r="I61" s="7" t="s">
        <v>232</v>
      </c>
      <c r="J61" s="8"/>
      <c r="K61" s="69">
        <v>200000000</v>
      </c>
      <c r="M61" s="2"/>
      <c r="N61" s="7" t="s">
        <v>38</v>
      </c>
      <c r="O61" s="8"/>
      <c r="P61" s="69">
        <v>100000000</v>
      </c>
      <c r="Q61" s="4"/>
      <c r="R61" s="7" t="s">
        <v>38</v>
      </c>
      <c r="S61" s="8"/>
      <c r="T61" s="69">
        <v>60000000</v>
      </c>
      <c r="AA61" s="156">
        <v>245</v>
      </c>
      <c r="AB61" s="134">
        <v>94</v>
      </c>
      <c r="AC61" s="134">
        <v>94</v>
      </c>
      <c r="AD61" s="134">
        <v>94</v>
      </c>
      <c r="AE61" s="134">
        <v>94</v>
      </c>
      <c r="AF61" s="134">
        <v>94</v>
      </c>
      <c r="AG61" s="134">
        <v>94</v>
      </c>
      <c r="AH61" s="134">
        <v>94</v>
      </c>
      <c r="AI61" s="134">
        <v>94</v>
      </c>
    </row>
    <row r="62" spans="2:35" x14ac:dyDescent="0.25">
      <c r="B62" s="122">
        <v>61</v>
      </c>
      <c r="D62" s="15"/>
      <c r="E62" s="21" t="s">
        <v>224</v>
      </c>
      <c r="F62" s="23"/>
      <c r="G62" s="78">
        <f>SUM(G57:G61)</f>
        <v>1600000000</v>
      </c>
      <c r="H62" s="16"/>
      <c r="I62" s="21" t="s">
        <v>224</v>
      </c>
      <c r="J62" s="23"/>
      <c r="K62" s="78">
        <f>SUM(K57:K61)</f>
        <v>1600000000</v>
      </c>
      <c r="M62" s="15"/>
      <c r="N62" s="21" t="s">
        <v>30</v>
      </c>
      <c r="O62" s="23"/>
      <c r="P62" s="78">
        <f>SUM(P57:P61)</f>
        <v>380000000</v>
      </c>
      <c r="Q62" s="16"/>
      <c r="R62" s="21" t="s">
        <v>30</v>
      </c>
      <c r="S62" s="23"/>
      <c r="T62" s="78">
        <f>SUM(T57:T61)</f>
        <v>340000000</v>
      </c>
      <c r="AB62" s="134">
        <v>95</v>
      </c>
      <c r="AC62" s="134">
        <v>95</v>
      </c>
      <c r="AD62" s="134">
        <v>95</v>
      </c>
      <c r="AE62" s="134">
        <v>95</v>
      </c>
      <c r="AF62" s="134">
        <v>95</v>
      </c>
      <c r="AG62" s="134">
        <v>95</v>
      </c>
      <c r="AH62" s="134">
        <v>95</v>
      </c>
      <c r="AI62" s="134">
        <v>95</v>
      </c>
    </row>
    <row r="63" spans="2:35" x14ac:dyDescent="0.25">
      <c r="B63" s="122">
        <v>62</v>
      </c>
      <c r="D63" s="2"/>
      <c r="E63" s="2"/>
      <c r="F63" s="4"/>
      <c r="G63" s="4"/>
      <c r="H63" s="4"/>
      <c r="I63" s="2"/>
      <c r="J63" s="4"/>
      <c r="K63" s="4"/>
      <c r="M63" s="2"/>
      <c r="N63" s="2"/>
      <c r="O63" s="4"/>
      <c r="P63" s="4"/>
      <c r="Q63" s="4"/>
      <c r="R63" s="2"/>
      <c r="S63" s="4"/>
      <c r="T63" s="4"/>
      <c r="AB63" s="134">
        <v>96</v>
      </c>
      <c r="AC63" s="134">
        <v>96</v>
      </c>
      <c r="AD63" s="134">
        <v>96</v>
      </c>
      <c r="AE63" s="134">
        <v>96</v>
      </c>
      <c r="AF63" s="134">
        <v>96</v>
      </c>
      <c r="AG63" s="134">
        <v>96</v>
      </c>
      <c r="AH63" s="134">
        <v>96</v>
      </c>
      <c r="AI63" s="134">
        <v>96</v>
      </c>
    </row>
    <row r="64" spans="2:35" x14ac:dyDescent="0.25">
      <c r="B64" s="122">
        <v>63</v>
      </c>
      <c r="D64" s="2"/>
      <c r="E64" s="2"/>
      <c r="F64" s="4"/>
      <c r="G64" s="4"/>
      <c r="H64" s="4"/>
      <c r="I64" s="2"/>
      <c r="J64" s="4"/>
      <c r="K64" s="4"/>
      <c r="M64" s="2"/>
      <c r="N64" s="2"/>
      <c r="O64" s="4"/>
      <c r="P64" s="4"/>
      <c r="Q64" s="4"/>
      <c r="R64" s="2"/>
      <c r="S64" s="4"/>
      <c r="T64" s="4"/>
      <c r="AB64" s="134">
        <v>97</v>
      </c>
      <c r="AC64" s="134">
        <v>97</v>
      </c>
      <c r="AD64" s="134">
        <v>97</v>
      </c>
      <c r="AE64" s="134">
        <v>97</v>
      </c>
      <c r="AF64" s="134">
        <v>97</v>
      </c>
      <c r="AG64" s="134">
        <v>97</v>
      </c>
      <c r="AH64" s="134">
        <v>97</v>
      </c>
      <c r="AI64" s="134">
        <v>97</v>
      </c>
    </row>
    <row r="65" spans="2:35" ht="15.75" thickBot="1" x14ac:dyDescent="0.3">
      <c r="B65" s="122">
        <v>64</v>
      </c>
      <c r="D65" s="58" t="s">
        <v>40</v>
      </c>
      <c r="E65" s="24" t="s">
        <v>233</v>
      </c>
      <c r="F65" s="25"/>
      <c r="G65" s="25"/>
      <c r="H65" s="25"/>
      <c r="I65" s="24"/>
      <c r="J65" s="25"/>
      <c r="K65" s="25"/>
      <c r="M65" s="58" t="s">
        <v>40</v>
      </c>
      <c r="N65" s="24" t="s">
        <v>43</v>
      </c>
      <c r="O65" s="25"/>
      <c r="P65" s="25"/>
      <c r="Q65" s="25"/>
      <c r="R65" s="24"/>
      <c r="S65" s="25"/>
      <c r="T65" s="25"/>
      <c r="AB65" s="134">
        <v>98</v>
      </c>
      <c r="AC65" s="134">
        <v>98</v>
      </c>
      <c r="AD65" s="134">
        <v>98</v>
      </c>
      <c r="AE65" s="134">
        <v>98</v>
      </c>
      <c r="AF65" s="134">
        <v>98</v>
      </c>
      <c r="AG65" s="134">
        <v>98</v>
      </c>
      <c r="AH65" s="134">
        <v>98</v>
      </c>
      <c r="AI65" s="134">
        <v>98</v>
      </c>
    </row>
    <row r="66" spans="2:35" x14ac:dyDescent="0.25">
      <c r="B66" s="122">
        <v>65</v>
      </c>
      <c r="D66" s="2"/>
      <c r="E66" s="2"/>
      <c r="F66" s="4"/>
      <c r="G66" s="4"/>
      <c r="H66" s="4"/>
      <c r="I66" s="2"/>
      <c r="J66" s="4"/>
      <c r="K66" s="4"/>
      <c r="M66" s="2"/>
      <c r="N66" s="2"/>
      <c r="O66" s="4"/>
      <c r="P66" s="4"/>
      <c r="Q66" s="4"/>
      <c r="R66" s="2"/>
      <c r="S66" s="4"/>
      <c r="T66" s="4"/>
      <c r="AB66" s="134">
        <v>99</v>
      </c>
      <c r="AC66" s="134">
        <v>99</v>
      </c>
      <c r="AD66" s="134">
        <v>99</v>
      </c>
      <c r="AE66" s="134">
        <v>99</v>
      </c>
      <c r="AF66" s="134">
        <v>99</v>
      </c>
      <c r="AG66" s="134">
        <v>99</v>
      </c>
      <c r="AH66" s="134">
        <v>99</v>
      </c>
      <c r="AI66" s="134">
        <v>99</v>
      </c>
    </row>
    <row r="67" spans="2:35" ht="51.75" x14ac:dyDescent="0.25">
      <c r="B67" s="122">
        <v>66</v>
      </c>
      <c r="D67" s="2"/>
      <c r="E67" s="13" t="s">
        <v>234</v>
      </c>
      <c r="F67" s="119" t="s">
        <v>217</v>
      </c>
      <c r="G67" s="120" t="s">
        <v>41</v>
      </c>
      <c r="H67" s="4"/>
      <c r="I67" s="2"/>
      <c r="J67" s="4"/>
      <c r="K67" s="4"/>
      <c r="M67" s="2"/>
      <c r="N67" s="83" t="s">
        <v>44</v>
      </c>
      <c r="O67" s="127" t="s">
        <v>24</v>
      </c>
      <c r="P67" s="128" t="s">
        <v>41</v>
      </c>
      <c r="Q67" s="4"/>
      <c r="R67" s="2"/>
      <c r="S67" s="4"/>
      <c r="T67" s="4"/>
      <c r="AB67" s="134">
        <v>100</v>
      </c>
      <c r="AC67" s="134">
        <v>100</v>
      </c>
      <c r="AD67" s="134">
        <v>100</v>
      </c>
      <c r="AE67" s="134">
        <v>100</v>
      </c>
      <c r="AF67" s="134">
        <v>100</v>
      </c>
      <c r="AG67" s="134">
        <v>100</v>
      </c>
      <c r="AH67" s="134">
        <v>100</v>
      </c>
      <c r="AI67" s="134">
        <v>100</v>
      </c>
    </row>
    <row r="68" spans="2:35" x14ac:dyDescent="0.25">
      <c r="B68" s="122">
        <v>67</v>
      </c>
      <c r="D68" s="2"/>
      <c r="E68" s="11" t="s">
        <v>235</v>
      </c>
      <c r="F68" s="71">
        <f>SUM(F69:F96)</f>
        <v>560000000</v>
      </c>
      <c r="G68" s="61">
        <f>SUM(G69:G96)</f>
        <v>0</v>
      </c>
      <c r="H68" s="4"/>
      <c r="I68" s="2"/>
      <c r="J68" s="4"/>
      <c r="K68" s="4"/>
      <c r="M68" s="2"/>
      <c r="N68" s="11" t="s">
        <v>45</v>
      </c>
      <c r="O68" s="71">
        <f>SUM(O69:O96)</f>
        <v>229999999999</v>
      </c>
      <c r="P68" s="61">
        <f>SUM(P69:P96)</f>
        <v>0</v>
      </c>
      <c r="Q68" s="4"/>
      <c r="R68" s="2"/>
      <c r="S68" s="4"/>
      <c r="T68" s="4"/>
      <c r="AB68" s="134">
        <v>101</v>
      </c>
      <c r="AC68" s="134">
        <v>101</v>
      </c>
      <c r="AD68" s="134">
        <v>101</v>
      </c>
      <c r="AE68" s="134">
        <v>101</v>
      </c>
      <c r="AF68" s="134">
        <v>101</v>
      </c>
      <c r="AG68" s="134">
        <v>101</v>
      </c>
      <c r="AH68" s="134">
        <v>101</v>
      </c>
      <c r="AI68" s="134">
        <v>101</v>
      </c>
    </row>
    <row r="69" spans="2:35" x14ac:dyDescent="0.25">
      <c r="B69" s="122">
        <v>68</v>
      </c>
      <c r="D69" s="2"/>
      <c r="E69" s="7" t="s">
        <v>236</v>
      </c>
      <c r="F69" s="67">
        <v>20000000</v>
      </c>
      <c r="G69" s="116">
        <f>IF(($C$69=0),0,(F69/$C$69))</f>
        <v>0</v>
      </c>
      <c r="H69" s="4"/>
      <c r="I69" s="2"/>
      <c r="J69" s="4"/>
      <c r="K69" s="4"/>
      <c r="M69" s="2"/>
      <c r="N69" s="7" t="s">
        <v>61</v>
      </c>
      <c r="O69" s="67">
        <v>9999999999</v>
      </c>
      <c r="P69" s="124">
        <f>IF(($C$69=0),0,(O69/$C$69))</f>
        <v>0</v>
      </c>
      <c r="Q69" s="4"/>
      <c r="R69" s="2"/>
      <c r="S69" s="4"/>
      <c r="T69" s="4"/>
      <c r="AB69" s="134">
        <v>102</v>
      </c>
      <c r="AC69" s="134">
        <v>102</v>
      </c>
      <c r="AD69" s="134">
        <v>102</v>
      </c>
      <c r="AE69" s="134">
        <v>102</v>
      </c>
      <c r="AF69" s="134">
        <v>102</v>
      </c>
      <c r="AG69" s="134">
        <v>102</v>
      </c>
      <c r="AH69" s="134">
        <v>102</v>
      </c>
      <c r="AI69" s="134">
        <v>102</v>
      </c>
    </row>
    <row r="70" spans="2:35" x14ac:dyDescent="0.25">
      <c r="B70" s="122">
        <v>69</v>
      </c>
      <c r="D70" s="2"/>
      <c r="E70" s="7" t="s">
        <v>237</v>
      </c>
      <c r="F70" s="67">
        <v>20000000</v>
      </c>
      <c r="G70" s="116">
        <f t="shared" ref="G70:G96" si="0">IF(($C$69=0),0,(F70/$C$69))</f>
        <v>0</v>
      </c>
      <c r="H70" s="4"/>
      <c r="I70" s="2"/>
      <c r="J70" s="4"/>
      <c r="K70" s="4"/>
      <c r="M70" s="2"/>
      <c r="N70" s="7" t="s">
        <v>46</v>
      </c>
      <c r="O70" s="67">
        <v>0</v>
      </c>
      <c r="P70" s="124">
        <f t="shared" ref="P70:P96" si="1">IF(($C$69=0),0,(O70/$C$69))</f>
        <v>0</v>
      </c>
      <c r="Q70" s="4"/>
      <c r="R70" s="2"/>
      <c r="S70" s="4"/>
      <c r="T70" s="4"/>
      <c r="AB70" s="134">
        <v>103</v>
      </c>
      <c r="AC70" s="134">
        <v>103</v>
      </c>
      <c r="AD70" s="134">
        <v>103</v>
      </c>
      <c r="AE70" s="134">
        <v>103</v>
      </c>
      <c r="AF70" s="134">
        <v>103</v>
      </c>
      <c r="AG70" s="134">
        <v>103</v>
      </c>
      <c r="AH70" s="134">
        <v>103</v>
      </c>
      <c r="AI70" s="134">
        <v>103</v>
      </c>
    </row>
    <row r="71" spans="2:35" x14ac:dyDescent="0.25">
      <c r="B71" s="122">
        <v>70</v>
      </c>
      <c r="D71" s="2"/>
      <c r="E71" s="7" t="s">
        <v>238</v>
      </c>
      <c r="F71" s="67">
        <v>20000000</v>
      </c>
      <c r="G71" s="116">
        <f t="shared" si="0"/>
        <v>0</v>
      </c>
      <c r="H71" s="4"/>
      <c r="I71" s="2"/>
      <c r="J71" s="4"/>
      <c r="K71" s="4"/>
      <c r="M71" s="2"/>
      <c r="N71" s="7" t="s">
        <v>47</v>
      </c>
      <c r="O71" s="67">
        <v>0</v>
      </c>
      <c r="P71" s="124">
        <f t="shared" si="1"/>
        <v>0</v>
      </c>
      <c r="Q71" s="4"/>
      <c r="R71" s="2"/>
      <c r="S71" s="4"/>
      <c r="T71" s="4"/>
      <c r="AB71" s="134">
        <v>104</v>
      </c>
      <c r="AC71" s="134">
        <v>104</v>
      </c>
      <c r="AD71" s="134">
        <v>104</v>
      </c>
      <c r="AE71" s="134">
        <v>104</v>
      </c>
      <c r="AF71" s="134">
        <v>104</v>
      </c>
      <c r="AG71" s="134">
        <v>104</v>
      </c>
      <c r="AH71" s="134">
        <v>104</v>
      </c>
      <c r="AI71" s="134">
        <v>104</v>
      </c>
    </row>
    <row r="72" spans="2:35" x14ac:dyDescent="0.25">
      <c r="B72" s="122">
        <v>71</v>
      </c>
      <c r="D72" s="2"/>
      <c r="E72" s="7" t="s">
        <v>239</v>
      </c>
      <c r="F72" s="67">
        <v>20000000</v>
      </c>
      <c r="G72" s="116">
        <f t="shared" si="0"/>
        <v>0</v>
      </c>
      <c r="H72" s="4"/>
      <c r="I72" s="2"/>
      <c r="J72" s="4"/>
      <c r="K72" s="4"/>
      <c r="M72" s="2"/>
      <c r="N72" s="7" t="s">
        <v>176</v>
      </c>
      <c r="O72" s="67">
        <v>0</v>
      </c>
      <c r="P72" s="124">
        <f t="shared" si="1"/>
        <v>0</v>
      </c>
      <c r="Q72" s="4"/>
      <c r="R72" s="2"/>
      <c r="S72" s="4"/>
      <c r="T72" s="4"/>
      <c r="AB72" s="134">
        <v>105</v>
      </c>
      <c r="AC72" s="134">
        <v>105</v>
      </c>
      <c r="AD72" s="134">
        <v>105</v>
      </c>
      <c r="AE72" s="134">
        <v>105</v>
      </c>
      <c r="AF72" s="134">
        <v>105</v>
      </c>
      <c r="AG72" s="134">
        <v>105</v>
      </c>
      <c r="AH72" s="134">
        <v>105</v>
      </c>
      <c r="AI72" s="134">
        <v>105</v>
      </c>
    </row>
    <row r="73" spans="2:35" x14ac:dyDescent="0.25">
      <c r="B73" s="122">
        <v>72</v>
      </c>
      <c r="D73" s="2"/>
      <c r="E73" s="7" t="s">
        <v>240</v>
      </c>
      <c r="F73" s="67">
        <v>20000000</v>
      </c>
      <c r="G73" s="116">
        <f t="shared" si="0"/>
        <v>0</v>
      </c>
      <c r="H73" s="4"/>
      <c r="I73" s="2"/>
      <c r="J73" s="4"/>
      <c r="K73" s="4"/>
      <c r="M73" s="2"/>
      <c r="N73" s="7" t="s">
        <v>72</v>
      </c>
      <c r="O73" s="67">
        <v>0</v>
      </c>
      <c r="P73" s="124">
        <f t="shared" si="1"/>
        <v>0</v>
      </c>
      <c r="Q73" s="4"/>
      <c r="R73" s="2"/>
      <c r="S73" s="4"/>
      <c r="T73" s="4"/>
      <c r="AB73" s="134">
        <v>106</v>
      </c>
      <c r="AC73" s="134">
        <v>106</v>
      </c>
      <c r="AD73" s="134">
        <v>106</v>
      </c>
      <c r="AE73" s="134">
        <v>106</v>
      </c>
      <c r="AF73" s="134">
        <v>106</v>
      </c>
      <c r="AG73" s="134">
        <v>106</v>
      </c>
      <c r="AH73" s="134">
        <v>106</v>
      </c>
      <c r="AI73" s="134">
        <v>106</v>
      </c>
    </row>
    <row r="74" spans="2:35" x14ac:dyDescent="0.25">
      <c r="B74" s="122">
        <v>73</v>
      </c>
      <c r="D74" s="2"/>
      <c r="E74" s="7" t="s">
        <v>241</v>
      </c>
      <c r="F74" s="67">
        <v>20000000</v>
      </c>
      <c r="G74" s="116">
        <f t="shared" si="0"/>
        <v>0</v>
      </c>
      <c r="H74" s="4"/>
      <c r="I74" s="2"/>
      <c r="J74" s="4"/>
      <c r="K74" s="4"/>
      <c r="M74" s="2"/>
      <c r="N74" s="7" t="s">
        <v>69</v>
      </c>
      <c r="O74" s="67">
        <v>0</v>
      </c>
      <c r="P74" s="124">
        <f t="shared" si="1"/>
        <v>0</v>
      </c>
      <c r="Q74" s="4"/>
      <c r="R74" s="2"/>
      <c r="S74" s="4"/>
      <c r="T74" s="4"/>
      <c r="AB74" s="134">
        <v>107</v>
      </c>
      <c r="AC74" s="134">
        <v>107</v>
      </c>
      <c r="AD74" s="134">
        <v>107</v>
      </c>
      <c r="AE74" s="134">
        <v>107</v>
      </c>
      <c r="AF74" s="134">
        <v>107</v>
      </c>
      <c r="AG74" s="134">
        <v>107</v>
      </c>
      <c r="AH74" s="134">
        <v>107</v>
      </c>
      <c r="AI74" s="134">
        <v>107</v>
      </c>
    </row>
    <row r="75" spans="2:35" x14ac:dyDescent="0.25">
      <c r="B75" s="122">
        <v>74</v>
      </c>
      <c r="D75" s="2"/>
      <c r="E75" s="7" t="s">
        <v>242</v>
      </c>
      <c r="F75" s="67">
        <v>20000000</v>
      </c>
      <c r="G75" s="116">
        <f t="shared" si="0"/>
        <v>0</v>
      </c>
      <c r="H75" s="4"/>
      <c r="I75" s="2"/>
      <c r="J75" s="4"/>
      <c r="K75" s="4"/>
      <c r="M75" s="2"/>
      <c r="N75" s="7" t="s">
        <v>48</v>
      </c>
      <c r="O75" s="67">
        <v>0</v>
      </c>
      <c r="P75" s="124">
        <f t="shared" si="1"/>
        <v>0</v>
      </c>
      <c r="Q75" s="4"/>
      <c r="R75" s="2"/>
      <c r="S75" s="4"/>
      <c r="T75" s="4"/>
      <c r="AB75" s="134">
        <v>108</v>
      </c>
      <c r="AC75" s="134">
        <v>108</v>
      </c>
      <c r="AD75" s="134">
        <v>108</v>
      </c>
      <c r="AE75" s="134">
        <v>108</v>
      </c>
      <c r="AF75" s="134">
        <v>108</v>
      </c>
      <c r="AG75" s="134">
        <v>108</v>
      </c>
      <c r="AH75" s="134">
        <v>108</v>
      </c>
      <c r="AI75" s="134">
        <v>108</v>
      </c>
    </row>
    <row r="76" spans="2:35" x14ac:dyDescent="0.25">
      <c r="B76" s="122">
        <v>75</v>
      </c>
      <c r="D76" s="2"/>
      <c r="E76" s="7" t="s">
        <v>243</v>
      </c>
      <c r="F76" s="67">
        <v>20000000</v>
      </c>
      <c r="G76" s="116">
        <f t="shared" si="0"/>
        <v>0</v>
      </c>
      <c r="H76" s="4"/>
      <c r="I76" s="2"/>
      <c r="J76" s="4"/>
      <c r="K76" s="4"/>
      <c r="M76" s="2"/>
      <c r="N76" s="7" t="s">
        <v>50</v>
      </c>
      <c r="O76" s="67">
        <v>0</v>
      </c>
      <c r="P76" s="124">
        <f t="shared" si="1"/>
        <v>0</v>
      </c>
      <c r="Q76" s="4"/>
      <c r="R76" s="2"/>
      <c r="S76" s="4"/>
      <c r="T76" s="4"/>
      <c r="AB76" s="134">
        <v>109</v>
      </c>
      <c r="AC76" s="134">
        <v>109</v>
      </c>
      <c r="AD76" s="134">
        <v>109</v>
      </c>
      <c r="AE76" s="134">
        <v>109</v>
      </c>
      <c r="AF76" s="134">
        <v>109</v>
      </c>
      <c r="AG76" s="134">
        <v>109</v>
      </c>
      <c r="AH76" s="134">
        <v>109</v>
      </c>
      <c r="AI76" s="134">
        <v>109</v>
      </c>
    </row>
    <row r="77" spans="2:35" x14ac:dyDescent="0.25">
      <c r="B77" s="122">
        <v>76</v>
      </c>
      <c r="D77" s="2"/>
      <c r="E77" s="7" t="s">
        <v>51</v>
      </c>
      <c r="F77" s="67">
        <v>20000000</v>
      </c>
      <c r="G77" s="116">
        <f t="shared" si="0"/>
        <v>0</v>
      </c>
      <c r="H77" s="4"/>
      <c r="I77" s="2"/>
      <c r="J77" s="4"/>
      <c r="K77" s="4"/>
      <c r="M77" s="2"/>
      <c r="N77" s="7" t="s">
        <v>51</v>
      </c>
      <c r="O77" s="67">
        <v>0</v>
      </c>
      <c r="P77" s="124">
        <f t="shared" si="1"/>
        <v>0</v>
      </c>
      <c r="Q77" s="4"/>
      <c r="R77" s="2"/>
      <c r="S77" s="4"/>
      <c r="T77" s="4"/>
      <c r="AB77" s="134">
        <v>110</v>
      </c>
      <c r="AC77" s="134">
        <v>110</v>
      </c>
      <c r="AD77" s="134">
        <v>110</v>
      </c>
      <c r="AE77" s="134">
        <v>110</v>
      </c>
      <c r="AF77" s="134">
        <v>110</v>
      </c>
      <c r="AG77" s="134">
        <v>110</v>
      </c>
      <c r="AH77" s="134">
        <v>110</v>
      </c>
      <c r="AI77" s="134">
        <v>110</v>
      </c>
    </row>
    <row r="78" spans="2:35" x14ac:dyDescent="0.25">
      <c r="B78" s="122">
        <v>77</v>
      </c>
      <c r="D78" s="2"/>
      <c r="E78" s="7" t="s">
        <v>244</v>
      </c>
      <c r="F78" s="67">
        <v>20000000</v>
      </c>
      <c r="G78" s="116">
        <f t="shared" si="0"/>
        <v>0</v>
      </c>
      <c r="H78" s="4"/>
      <c r="I78" s="2"/>
      <c r="J78" s="4"/>
      <c r="K78" s="4"/>
      <c r="M78" s="2"/>
      <c r="N78" s="7" t="s">
        <v>52</v>
      </c>
      <c r="O78" s="67">
        <v>50000000000</v>
      </c>
      <c r="P78" s="124">
        <f t="shared" si="1"/>
        <v>0</v>
      </c>
      <c r="Q78" s="4"/>
      <c r="R78" s="2"/>
      <c r="S78" s="4"/>
      <c r="T78" s="4"/>
      <c r="AB78" s="134">
        <v>111</v>
      </c>
      <c r="AC78" s="134">
        <v>111</v>
      </c>
      <c r="AD78" s="134">
        <v>111</v>
      </c>
      <c r="AE78" s="134">
        <v>111</v>
      </c>
      <c r="AF78" s="134">
        <v>111</v>
      </c>
      <c r="AG78" s="134">
        <v>111</v>
      </c>
      <c r="AH78" s="134">
        <v>111</v>
      </c>
      <c r="AI78" s="134">
        <v>111</v>
      </c>
    </row>
    <row r="79" spans="2:35" x14ac:dyDescent="0.25">
      <c r="B79" s="122">
        <v>78</v>
      </c>
      <c r="D79" s="2"/>
      <c r="E79" s="7" t="s">
        <v>245</v>
      </c>
      <c r="F79" s="67">
        <v>20000000</v>
      </c>
      <c r="G79" s="116">
        <f t="shared" si="0"/>
        <v>0</v>
      </c>
      <c r="H79" s="4"/>
      <c r="I79" s="2"/>
      <c r="J79" s="4"/>
      <c r="K79" s="4"/>
      <c r="M79" s="2"/>
      <c r="N79" s="7" t="s">
        <v>49</v>
      </c>
      <c r="O79" s="67">
        <v>0</v>
      </c>
      <c r="P79" s="124">
        <f t="shared" si="1"/>
        <v>0</v>
      </c>
      <c r="Q79" s="4"/>
      <c r="R79" s="2"/>
      <c r="S79" s="4"/>
      <c r="T79" s="4"/>
      <c r="AB79" s="134">
        <v>112</v>
      </c>
      <c r="AC79" s="134">
        <v>112</v>
      </c>
      <c r="AD79" s="134">
        <v>112</v>
      </c>
      <c r="AE79" s="134">
        <v>112</v>
      </c>
      <c r="AF79" s="134">
        <v>112</v>
      </c>
      <c r="AG79" s="134">
        <v>112</v>
      </c>
      <c r="AH79" s="134">
        <v>112</v>
      </c>
      <c r="AI79" s="134">
        <v>112</v>
      </c>
    </row>
    <row r="80" spans="2:35" x14ac:dyDescent="0.25">
      <c r="B80" s="122">
        <v>79</v>
      </c>
      <c r="D80" s="2"/>
      <c r="E80" s="7" t="s">
        <v>246</v>
      </c>
      <c r="F80" s="67">
        <v>20000000</v>
      </c>
      <c r="G80" s="116">
        <f t="shared" si="0"/>
        <v>0</v>
      </c>
      <c r="H80" s="4"/>
      <c r="I80" s="2"/>
      <c r="J80" s="4"/>
      <c r="K80" s="4"/>
      <c r="M80" s="2"/>
      <c r="N80" s="7" t="s">
        <v>53</v>
      </c>
      <c r="O80" s="67">
        <v>0</v>
      </c>
      <c r="P80" s="124">
        <f t="shared" si="1"/>
        <v>0</v>
      </c>
      <c r="Q80" s="4"/>
      <c r="R80" s="2"/>
      <c r="S80" s="4"/>
      <c r="T80" s="4"/>
      <c r="AB80" s="134">
        <v>113</v>
      </c>
      <c r="AC80" s="134">
        <v>113</v>
      </c>
      <c r="AD80" s="134">
        <v>113</v>
      </c>
      <c r="AE80" s="134">
        <v>113</v>
      </c>
      <c r="AF80" s="134">
        <v>113</v>
      </c>
      <c r="AG80" s="134">
        <v>113</v>
      </c>
      <c r="AH80" s="134">
        <v>113</v>
      </c>
      <c r="AI80" s="134">
        <v>113</v>
      </c>
    </row>
    <row r="81" spans="2:35" x14ac:dyDescent="0.25">
      <c r="B81" s="122">
        <v>80</v>
      </c>
      <c r="D81" s="2"/>
      <c r="E81" s="7" t="s">
        <v>247</v>
      </c>
      <c r="F81" s="67">
        <v>20000000</v>
      </c>
      <c r="G81" s="116">
        <f t="shared" si="0"/>
        <v>0</v>
      </c>
      <c r="H81" s="4"/>
      <c r="I81" s="2"/>
      <c r="J81" s="4"/>
      <c r="K81" s="4"/>
      <c r="M81" s="2"/>
      <c r="N81" s="7" t="s">
        <v>70</v>
      </c>
      <c r="O81" s="67">
        <v>50000000000</v>
      </c>
      <c r="P81" s="124">
        <f t="shared" si="1"/>
        <v>0</v>
      </c>
      <c r="Q81" s="4"/>
      <c r="R81" s="2"/>
      <c r="S81" s="4"/>
      <c r="T81" s="4"/>
      <c r="AB81" s="134">
        <v>114</v>
      </c>
      <c r="AC81" s="134">
        <v>114</v>
      </c>
      <c r="AD81" s="134">
        <v>114</v>
      </c>
      <c r="AE81" s="134">
        <v>114</v>
      </c>
      <c r="AF81" s="134">
        <v>114</v>
      </c>
      <c r="AG81" s="134">
        <v>114</v>
      </c>
      <c r="AH81" s="134">
        <v>114</v>
      </c>
      <c r="AI81" s="134">
        <v>114</v>
      </c>
    </row>
    <row r="82" spans="2:35" x14ac:dyDescent="0.25">
      <c r="B82" s="122">
        <v>81</v>
      </c>
      <c r="D82" s="2"/>
      <c r="E82" s="7" t="s">
        <v>54</v>
      </c>
      <c r="F82" s="67">
        <v>20000000</v>
      </c>
      <c r="G82" s="116">
        <f t="shared" si="0"/>
        <v>0</v>
      </c>
      <c r="H82" s="4"/>
      <c r="I82" s="2"/>
      <c r="J82" s="4"/>
      <c r="K82" s="4"/>
      <c r="M82" s="2"/>
      <c r="N82" s="7" t="s">
        <v>54</v>
      </c>
      <c r="O82" s="67">
        <v>0</v>
      </c>
      <c r="P82" s="124">
        <f t="shared" si="1"/>
        <v>0</v>
      </c>
      <c r="Q82" s="4"/>
      <c r="R82" s="2"/>
      <c r="S82" s="4"/>
      <c r="T82" s="4"/>
      <c r="AB82" s="134">
        <v>115</v>
      </c>
      <c r="AC82" s="134">
        <v>115</v>
      </c>
      <c r="AD82" s="134">
        <v>115</v>
      </c>
      <c r="AE82" s="134">
        <v>115</v>
      </c>
      <c r="AF82" s="134">
        <v>115</v>
      </c>
      <c r="AG82" s="134">
        <v>115</v>
      </c>
      <c r="AH82" s="134">
        <v>115</v>
      </c>
      <c r="AI82" s="134">
        <v>115</v>
      </c>
    </row>
    <row r="83" spans="2:35" x14ac:dyDescent="0.25">
      <c r="B83" s="122">
        <v>82</v>
      </c>
      <c r="D83" s="2"/>
      <c r="E83" s="7" t="s">
        <v>248</v>
      </c>
      <c r="F83" s="67">
        <v>20000000</v>
      </c>
      <c r="G83" s="116">
        <f t="shared" si="0"/>
        <v>0</v>
      </c>
      <c r="H83" s="4"/>
      <c r="I83" s="2"/>
      <c r="J83" s="4"/>
      <c r="K83" s="4"/>
      <c r="M83" s="2"/>
      <c r="N83" s="7" t="s">
        <v>55</v>
      </c>
      <c r="O83" s="67">
        <v>50000000000</v>
      </c>
      <c r="P83" s="124">
        <f t="shared" si="1"/>
        <v>0</v>
      </c>
      <c r="Q83" s="4"/>
      <c r="R83" s="2"/>
      <c r="S83" s="4"/>
      <c r="T83" s="4"/>
      <c r="AB83" s="134">
        <v>116</v>
      </c>
      <c r="AC83" s="134">
        <v>116</v>
      </c>
      <c r="AD83" s="134">
        <v>116</v>
      </c>
      <c r="AE83" s="134">
        <v>116</v>
      </c>
      <c r="AF83" s="134">
        <v>116</v>
      </c>
      <c r="AG83" s="134">
        <v>116</v>
      </c>
      <c r="AH83" s="134">
        <v>116</v>
      </c>
      <c r="AI83" s="134">
        <v>116</v>
      </c>
    </row>
    <row r="84" spans="2:35" x14ac:dyDescent="0.25">
      <c r="B84" s="122">
        <v>83</v>
      </c>
      <c r="D84" s="2"/>
      <c r="E84" s="7" t="s">
        <v>249</v>
      </c>
      <c r="F84" s="67">
        <v>20000000</v>
      </c>
      <c r="G84" s="116">
        <f t="shared" si="0"/>
        <v>0</v>
      </c>
      <c r="H84" s="4"/>
      <c r="I84" s="2"/>
      <c r="J84" s="4"/>
      <c r="K84" s="4"/>
      <c r="M84" s="2"/>
      <c r="N84" s="7" t="s">
        <v>56</v>
      </c>
      <c r="O84" s="67">
        <v>0</v>
      </c>
      <c r="P84" s="124">
        <f t="shared" si="1"/>
        <v>0</v>
      </c>
      <c r="Q84" s="4"/>
      <c r="R84" s="2"/>
      <c r="S84" s="4"/>
      <c r="T84" s="4"/>
      <c r="AB84" s="134">
        <v>117</v>
      </c>
      <c r="AC84" s="134">
        <v>117</v>
      </c>
      <c r="AD84" s="134">
        <v>117</v>
      </c>
      <c r="AE84" s="134">
        <v>117</v>
      </c>
      <c r="AF84" s="134">
        <v>117</v>
      </c>
      <c r="AG84" s="134">
        <v>117</v>
      </c>
      <c r="AH84" s="134">
        <v>117</v>
      </c>
      <c r="AI84" s="134">
        <v>117</v>
      </c>
    </row>
    <row r="85" spans="2:35" x14ac:dyDescent="0.25">
      <c r="B85" s="122">
        <v>84</v>
      </c>
      <c r="D85" s="2"/>
      <c r="E85" s="7" t="s">
        <v>250</v>
      </c>
      <c r="F85" s="67">
        <v>20000000</v>
      </c>
      <c r="G85" s="116">
        <f t="shared" si="0"/>
        <v>0</v>
      </c>
      <c r="H85" s="4"/>
      <c r="I85" s="2"/>
      <c r="J85" s="4"/>
      <c r="K85" s="4"/>
      <c r="M85" s="2"/>
      <c r="N85" s="7" t="s">
        <v>57</v>
      </c>
      <c r="O85" s="67">
        <v>0</v>
      </c>
      <c r="P85" s="124">
        <f t="shared" si="1"/>
        <v>0</v>
      </c>
      <c r="Q85" s="4"/>
      <c r="R85" s="2"/>
      <c r="S85" s="4"/>
      <c r="T85" s="4"/>
      <c r="AB85" s="134">
        <v>118</v>
      </c>
      <c r="AC85" s="134">
        <v>118</v>
      </c>
      <c r="AD85" s="134">
        <v>118</v>
      </c>
      <c r="AE85" s="134">
        <v>118</v>
      </c>
      <c r="AF85" s="134">
        <v>118</v>
      </c>
      <c r="AG85" s="134">
        <v>118</v>
      </c>
      <c r="AH85" s="134">
        <v>118</v>
      </c>
      <c r="AI85" s="134">
        <v>118</v>
      </c>
    </row>
    <row r="86" spans="2:35" x14ac:dyDescent="0.25">
      <c r="B86" s="122">
        <v>85</v>
      </c>
      <c r="D86" s="2"/>
      <c r="E86" s="7" t="s">
        <v>251</v>
      </c>
      <c r="F86" s="67">
        <v>20000000</v>
      </c>
      <c r="G86" s="116">
        <f t="shared" si="0"/>
        <v>0</v>
      </c>
      <c r="H86" s="4"/>
      <c r="I86" s="2"/>
      <c r="J86" s="4"/>
      <c r="K86" s="4"/>
      <c r="M86" s="2"/>
      <c r="N86" s="7" t="s">
        <v>58</v>
      </c>
      <c r="O86" s="67">
        <v>0</v>
      </c>
      <c r="P86" s="124">
        <f t="shared" si="1"/>
        <v>0</v>
      </c>
      <c r="Q86" s="4"/>
      <c r="R86" s="2"/>
      <c r="S86" s="4"/>
      <c r="T86" s="4"/>
      <c r="AB86" s="134">
        <v>119</v>
      </c>
      <c r="AC86" s="134">
        <v>119</v>
      </c>
      <c r="AD86" s="134">
        <v>119</v>
      </c>
      <c r="AE86" s="134">
        <v>119</v>
      </c>
      <c r="AF86" s="134">
        <v>119</v>
      </c>
      <c r="AG86" s="134">
        <v>119</v>
      </c>
      <c r="AH86" s="134">
        <v>119</v>
      </c>
      <c r="AI86" s="134">
        <v>119</v>
      </c>
    </row>
    <row r="87" spans="2:35" x14ac:dyDescent="0.25">
      <c r="B87" s="122">
        <v>86</v>
      </c>
      <c r="D87" s="2"/>
      <c r="E87" s="7" t="s">
        <v>59</v>
      </c>
      <c r="F87" s="67">
        <v>20000000</v>
      </c>
      <c r="G87" s="116">
        <f t="shared" si="0"/>
        <v>0</v>
      </c>
      <c r="H87" s="4"/>
      <c r="I87" s="2"/>
      <c r="J87" s="4"/>
      <c r="K87" s="4"/>
      <c r="M87" s="2"/>
      <c r="N87" s="7" t="s">
        <v>59</v>
      </c>
      <c r="O87" s="67">
        <v>0</v>
      </c>
      <c r="P87" s="124">
        <f t="shared" si="1"/>
        <v>0</v>
      </c>
      <c r="Q87" s="4"/>
      <c r="R87" s="2"/>
      <c r="S87" s="4"/>
      <c r="T87" s="4"/>
      <c r="AB87" s="134">
        <v>120</v>
      </c>
      <c r="AC87" s="134">
        <v>120</v>
      </c>
      <c r="AD87" s="134">
        <v>120</v>
      </c>
      <c r="AE87" s="134">
        <v>120</v>
      </c>
      <c r="AF87" s="134">
        <v>120</v>
      </c>
      <c r="AG87" s="134">
        <v>120</v>
      </c>
      <c r="AH87" s="134">
        <v>120</v>
      </c>
      <c r="AI87" s="134">
        <v>120</v>
      </c>
    </row>
    <row r="88" spans="2:35" x14ac:dyDescent="0.25">
      <c r="B88" s="122">
        <v>87</v>
      </c>
      <c r="D88" s="2"/>
      <c r="E88" s="7" t="s">
        <v>252</v>
      </c>
      <c r="F88" s="67">
        <v>20000000</v>
      </c>
      <c r="G88" s="116">
        <f t="shared" si="0"/>
        <v>0</v>
      </c>
      <c r="H88" s="4"/>
      <c r="I88" s="2"/>
      <c r="J88" s="4"/>
      <c r="K88" s="4"/>
      <c r="M88" s="2"/>
      <c r="N88" s="7" t="s">
        <v>62</v>
      </c>
      <c r="O88" s="67">
        <v>0</v>
      </c>
      <c r="P88" s="124">
        <f t="shared" si="1"/>
        <v>0</v>
      </c>
      <c r="Q88" s="4"/>
      <c r="R88" s="2"/>
      <c r="S88" s="4"/>
      <c r="T88" s="4"/>
      <c r="AB88" s="134">
        <v>121</v>
      </c>
      <c r="AC88" s="134">
        <v>121</v>
      </c>
      <c r="AD88" s="134">
        <v>121</v>
      </c>
      <c r="AE88" s="134">
        <v>121</v>
      </c>
      <c r="AF88" s="134">
        <v>121</v>
      </c>
      <c r="AG88" s="134">
        <v>121</v>
      </c>
      <c r="AH88" s="134">
        <v>121</v>
      </c>
      <c r="AI88" s="134">
        <v>121</v>
      </c>
    </row>
    <row r="89" spans="2:35" x14ac:dyDescent="0.25">
      <c r="B89" s="122">
        <v>88</v>
      </c>
      <c r="D89" s="2"/>
      <c r="E89" s="7" t="s">
        <v>63</v>
      </c>
      <c r="F89" s="67">
        <v>20000000</v>
      </c>
      <c r="G89" s="116">
        <f t="shared" si="0"/>
        <v>0</v>
      </c>
      <c r="H89" s="4"/>
      <c r="I89" s="2"/>
      <c r="J89" s="4"/>
      <c r="K89" s="4"/>
      <c r="M89" s="2"/>
      <c r="N89" s="7" t="s">
        <v>63</v>
      </c>
      <c r="O89" s="67">
        <v>0</v>
      </c>
      <c r="P89" s="124">
        <f t="shared" si="1"/>
        <v>0</v>
      </c>
      <c r="Q89" s="4"/>
      <c r="R89" s="2"/>
      <c r="S89" s="4"/>
      <c r="T89" s="4"/>
      <c r="AB89" s="134">
        <v>122</v>
      </c>
      <c r="AC89" s="134">
        <v>122</v>
      </c>
      <c r="AD89" s="134">
        <v>122</v>
      </c>
      <c r="AE89" s="134">
        <v>122</v>
      </c>
      <c r="AF89" s="134">
        <v>122</v>
      </c>
      <c r="AG89" s="134">
        <v>122</v>
      </c>
      <c r="AH89" s="134">
        <v>122</v>
      </c>
      <c r="AI89" s="134">
        <v>122</v>
      </c>
    </row>
    <row r="90" spans="2:35" x14ac:dyDescent="0.25">
      <c r="B90" s="122">
        <v>89</v>
      </c>
      <c r="D90" s="2"/>
      <c r="E90" s="7" t="s">
        <v>253</v>
      </c>
      <c r="F90" s="67">
        <v>20000000</v>
      </c>
      <c r="G90" s="116">
        <f t="shared" si="0"/>
        <v>0</v>
      </c>
      <c r="H90" s="4"/>
      <c r="I90" s="2"/>
      <c r="J90" s="4"/>
      <c r="K90" s="4"/>
      <c r="M90" s="2"/>
      <c r="N90" s="7" t="s">
        <v>64</v>
      </c>
      <c r="O90" s="67">
        <v>0</v>
      </c>
      <c r="P90" s="124">
        <f t="shared" si="1"/>
        <v>0</v>
      </c>
      <c r="Q90" s="4"/>
      <c r="R90" s="2"/>
      <c r="S90" s="4"/>
      <c r="T90" s="4"/>
      <c r="AB90" s="134">
        <v>123</v>
      </c>
      <c r="AC90" s="134">
        <v>123</v>
      </c>
      <c r="AD90" s="134">
        <v>123</v>
      </c>
      <c r="AE90" s="134">
        <v>123</v>
      </c>
      <c r="AF90" s="134">
        <v>123</v>
      </c>
      <c r="AG90" s="134">
        <v>123</v>
      </c>
      <c r="AH90" s="134">
        <v>123</v>
      </c>
      <c r="AI90" s="134">
        <v>123</v>
      </c>
    </row>
    <row r="91" spans="2:35" x14ac:dyDescent="0.25">
      <c r="B91" s="122">
        <v>90</v>
      </c>
      <c r="D91" s="2"/>
      <c r="E91" s="7" t="s">
        <v>254</v>
      </c>
      <c r="F91" s="67">
        <v>20000000</v>
      </c>
      <c r="G91" s="116">
        <f t="shared" si="0"/>
        <v>0</v>
      </c>
      <c r="H91" s="4"/>
      <c r="I91" s="2"/>
      <c r="J91" s="4"/>
      <c r="K91" s="4"/>
      <c r="M91" s="2"/>
      <c r="N91" s="7" t="s">
        <v>66</v>
      </c>
      <c r="O91" s="67">
        <v>0</v>
      </c>
      <c r="P91" s="124">
        <f t="shared" si="1"/>
        <v>0</v>
      </c>
      <c r="Q91" s="4"/>
      <c r="R91" s="2"/>
      <c r="S91" s="4"/>
      <c r="T91" s="4"/>
      <c r="AB91" s="134">
        <v>124</v>
      </c>
      <c r="AC91" s="134">
        <v>124</v>
      </c>
      <c r="AD91" s="134">
        <v>124</v>
      </c>
      <c r="AE91" s="134">
        <v>124</v>
      </c>
      <c r="AF91" s="134">
        <v>124</v>
      </c>
      <c r="AG91" s="134">
        <v>124</v>
      </c>
      <c r="AH91" s="134">
        <v>124</v>
      </c>
      <c r="AI91" s="134">
        <v>124</v>
      </c>
    </row>
    <row r="92" spans="2:35" x14ac:dyDescent="0.25">
      <c r="B92" s="122">
        <v>91</v>
      </c>
      <c r="D92" s="2"/>
      <c r="E92" s="7" t="s">
        <v>255</v>
      </c>
      <c r="F92" s="67">
        <v>20000000</v>
      </c>
      <c r="G92" s="116">
        <f t="shared" si="0"/>
        <v>0</v>
      </c>
      <c r="H92" s="4"/>
      <c r="I92" s="2"/>
      <c r="J92" s="4"/>
      <c r="K92" s="4"/>
      <c r="M92" s="2"/>
      <c r="N92" s="7" t="s">
        <v>67</v>
      </c>
      <c r="O92" s="67">
        <v>0</v>
      </c>
      <c r="P92" s="124">
        <f t="shared" si="1"/>
        <v>0</v>
      </c>
      <c r="Q92" s="4"/>
      <c r="R92" s="2"/>
      <c r="S92" s="4"/>
      <c r="T92" s="4"/>
      <c r="AB92" s="134">
        <v>125</v>
      </c>
      <c r="AC92" s="134">
        <v>125</v>
      </c>
      <c r="AD92" s="134">
        <v>125</v>
      </c>
      <c r="AE92" s="134">
        <v>125</v>
      </c>
      <c r="AF92" s="134">
        <v>125</v>
      </c>
      <c r="AG92" s="134">
        <v>125</v>
      </c>
      <c r="AH92" s="134">
        <v>125</v>
      </c>
      <c r="AI92" s="134">
        <v>125</v>
      </c>
    </row>
    <row r="93" spans="2:35" x14ac:dyDescent="0.25">
      <c r="B93" s="122">
        <v>92</v>
      </c>
      <c r="D93" s="2"/>
      <c r="E93" s="7" t="s">
        <v>256</v>
      </c>
      <c r="F93" s="67">
        <v>20000000</v>
      </c>
      <c r="G93" s="116">
        <f t="shared" si="0"/>
        <v>0</v>
      </c>
      <c r="H93" s="4"/>
      <c r="I93" s="2"/>
      <c r="J93" s="4"/>
      <c r="K93" s="4"/>
      <c r="M93" s="2"/>
      <c r="N93" s="7" t="s">
        <v>68</v>
      </c>
      <c r="O93" s="67">
        <v>20000000000</v>
      </c>
      <c r="P93" s="124">
        <f t="shared" si="1"/>
        <v>0</v>
      </c>
      <c r="Q93" s="4"/>
      <c r="R93" s="2"/>
      <c r="S93" s="4"/>
      <c r="T93" s="4"/>
      <c r="AB93" s="134">
        <v>126</v>
      </c>
      <c r="AC93" s="134">
        <v>126</v>
      </c>
      <c r="AD93" s="134">
        <v>126</v>
      </c>
      <c r="AE93" s="134">
        <v>126</v>
      </c>
      <c r="AF93" s="134">
        <v>126</v>
      </c>
      <c r="AG93" s="134">
        <v>126</v>
      </c>
      <c r="AH93" s="134">
        <v>126</v>
      </c>
      <c r="AI93" s="134">
        <v>126</v>
      </c>
    </row>
    <row r="94" spans="2:35" x14ac:dyDescent="0.25">
      <c r="B94" s="122">
        <v>93</v>
      </c>
      <c r="D94" s="2"/>
      <c r="E94" s="7" t="s">
        <v>257</v>
      </c>
      <c r="F94" s="67">
        <v>20000000</v>
      </c>
      <c r="G94" s="116">
        <f t="shared" si="0"/>
        <v>0</v>
      </c>
      <c r="H94" s="4"/>
      <c r="I94" s="2"/>
      <c r="J94" s="4"/>
      <c r="K94" s="4"/>
      <c r="M94" s="2"/>
      <c r="N94" s="7" t="s">
        <v>65</v>
      </c>
      <c r="O94" s="67">
        <v>50000000000</v>
      </c>
      <c r="P94" s="124">
        <f t="shared" si="1"/>
        <v>0</v>
      </c>
      <c r="Q94" s="4"/>
      <c r="R94" s="2"/>
      <c r="S94" s="4"/>
      <c r="T94" s="4"/>
      <c r="AB94" s="134">
        <v>127</v>
      </c>
      <c r="AC94" s="134">
        <v>127</v>
      </c>
      <c r="AD94" s="134">
        <v>127</v>
      </c>
      <c r="AE94" s="134">
        <v>127</v>
      </c>
      <c r="AF94" s="134">
        <v>127</v>
      </c>
      <c r="AG94" s="134">
        <v>127</v>
      </c>
      <c r="AH94" s="134">
        <v>127</v>
      </c>
      <c r="AI94" s="134">
        <v>127</v>
      </c>
    </row>
    <row r="95" spans="2:35" x14ac:dyDescent="0.25">
      <c r="B95" s="122">
        <v>94</v>
      </c>
      <c r="D95" s="2"/>
      <c r="E95" s="7" t="s">
        <v>258</v>
      </c>
      <c r="F95" s="67">
        <v>20000000</v>
      </c>
      <c r="G95" s="116">
        <f t="shared" si="0"/>
        <v>0</v>
      </c>
      <c r="H95" s="4"/>
      <c r="I95" s="2"/>
      <c r="J95" s="4"/>
      <c r="K95" s="4"/>
      <c r="M95" s="2"/>
      <c r="N95" s="7" t="s">
        <v>60</v>
      </c>
      <c r="O95" s="67">
        <v>0</v>
      </c>
      <c r="P95" s="124">
        <f t="shared" si="1"/>
        <v>0</v>
      </c>
      <c r="Q95" s="4"/>
      <c r="R95" s="2"/>
      <c r="S95" s="4"/>
      <c r="T95" s="4"/>
      <c r="AB95" s="134">
        <v>128</v>
      </c>
      <c r="AC95" s="134">
        <v>128</v>
      </c>
      <c r="AD95" s="134">
        <v>128</v>
      </c>
      <c r="AE95" s="134">
        <v>128</v>
      </c>
      <c r="AF95" s="134">
        <v>128</v>
      </c>
      <c r="AG95" s="134">
        <v>128</v>
      </c>
      <c r="AH95" s="134">
        <v>128</v>
      </c>
      <c r="AI95" s="134">
        <v>128</v>
      </c>
    </row>
    <row r="96" spans="2:35" x14ac:dyDescent="0.25">
      <c r="B96" s="122">
        <v>95</v>
      </c>
      <c r="D96" s="2"/>
      <c r="E96" s="7" t="s">
        <v>259</v>
      </c>
      <c r="F96" s="67">
        <v>20000000</v>
      </c>
      <c r="G96" s="116">
        <f t="shared" si="0"/>
        <v>0</v>
      </c>
      <c r="H96" s="4"/>
      <c r="I96" s="2"/>
      <c r="J96" s="4"/>
      <c r="K96" s="4"/>
      <c r="M96" s="2"/>
      <c r="N96" s="7" t="s">
        <v>71</v>
      </c>
      <c r="O96" s="67">
        <v>0</v>
      </c>
      <c r="P96" s="124">
        <f t="shared" si="1"/>
        <v>0</v>
      </c>
      <c r="Q96" s="4"/>
      <c r="R96" s="2"/>
      <c r="S96" s="4"/>
      <c r="T96" s="4"/>
      <c r="AB96" s="134">
        <v>129</v>
      </c>
      <c r="AC96" s="134">
        <v>129</v>
      </c>
      <c r="AD96" s="134">
        <v>129</v>
      </c>
      <c r="AE96" s="134">
        <v>129</v>
      </c>
      <c r="AF96" s="134">
        <v>129</v>
      </c>
      <c r="AG96" s="134">
        <v>129</v>
      </c>
      <c r="AH96" s="134">
        <v>129</v>
      </c>
      <c r="AI96" s="134">
        <v>129</v>
      </c>
    </row>
    <row r="97" spans="2:35" x14ac:dyDescent="0.25">
      <c r="B97" s="122">
        <v>96</v>
      </c>
      <c r="D97" s="2"/>
      <c r="E97" s="11" t="s">
        <v>260</v>
      </c>
      <c r="F97" s="71">
        <f>SUM(F98:F100)</f>
        <v>60000000</v>
      </c>
      <c r="G97" s="61">
        <f>SUM(G98:G100)</f>
        <v>0</v>
      </c>
      <c r="H97" s="4"/>
      <c r="I97" s="2"/>
      <c r="J97" s="4"/>
      <c r="K97" s="4"/>
      <c r="M97" s="2"/>
      <c r="N97" s="11" t="s">
        <v>73</v>
      </c>
      <c r="O97" s="71">
        <f>SUM(O98:O100)</f>
        <v>0</v>
      </c>
      <c r="P97" s="61">
        <f>SUM(P98:P100)</f>
        <v>0</v>
      </c>
      <c r="Q97" s="4"/>
      <c r="R97" s="2"/>
      <c r="S97" s="4"/>
      <c r="T97" s="4"/>
      <c r="AB97" s="134">
        <v>130</v>
      </c>
      <c r="AC97" s="134">
        <v>130</v>
      </c>
      <c r="AD97" s="134">
        <v>130</v>
      </c>
      <c r="AE97" s="134">
        <v>130</v>
      </c>
      <c r="AF97" s="134">
        <v>130</v>
      </c>
      <c r="AG97" s="134">
        <v>130</v>
      </c>
      <c r="AH97" s="134">
        <v>130</v>
      </c>
      <c r="AI97" s="134">
        <v>130</v>
      </c>
    </row>
    <row r="98" spans="2:35" x14ac:dyDescent="0.25">
      <c r="B98" s="122">
        <v>97</v>
      </c>
      <c r="D98" s="2"/>
      <c r="E98" s="7" t="s">
        <v>74</v>
      </c>
      <c r="F98" s="67">
        <v>20000000</v>
      </c>
      <c r="G98" s="116">
        <f>IF(($C$69=0),0,(F98/$C$69))</f>
        <v>0</v>
      </c>
      <c r="H98" s="4"/>
      <c r="I98" s="2"/>
      <c r="J98" s="4"/>
      <c r="K98" s="4"/>
      <c r="M98" s="2"/>
      <c r="N98" s="7" t="s">
        <v>74</v>
      </c>
      <c r="O98" s="67">
        <v>0</v>
      </c>
      <c r="P98" s="124">
        <f>IF(($C$69=0),0,(O98/$C$69))</f>
        <v>0</v>
      </c>
      <c r="Q98" s="4"/>
      <c r="R98" s="2"/>
      <c r="S98" s="4"/>
      <c r="T98" s="4"/>
      <c r="AB98" s="134">
        <v>131</v>
      </c>
      <c r="AC98" s="134">
        <v>131</v>
      </c>
      <c r="AD98" s="134">
        <v>131</v>
      </c>
      <c r="AE98" s="134">
        <v>131</v>
      </c>
      <c r="AF98" s="134">
        <v>131</v>
      </c>
      <c r="AG98" s="134">
        <v>131</v>
      </c>
      <c r="AH98" s="134">
        <v>131</v>
      </c>
      <c r="AI98" s="134">
        <v>131</v>
      </c>
    </row>
    <row r="99" spans="2:35" x14ac:dyDescent="0.25">
      <c r="B99" s="122">
        <v>98</v>
      </c>
      <c r="D99" s="2"/>
      <c r="E99" s="7" t="s">
        <v>75</v>
      </c>
      <c r="F99" s="67">
        <v>20000000</v>
      </c>
      <c r="G99" s="116">
        <f t="shared" ref="G99:G102" si="2">IF(($C$69=0),0,(F99/$C$69))</f>
        <v>0</v>
      </c>
      <c r="H99" s="4"/>
      <c r="I99" s="2"/>
      <c r="J99" s="4"/>
      <c r="K99" s="4"/>
      <c r="M99" s="2"/>
      <c r="N99" s="7" t="s">
        <v>75</v>
      </c>
      <c r="O99" s="67">
        <v>0</v>
      </c>
      <c r="P99" s="124">
        <f t="shared" ref="P99:P102" si="3">IF(($C$69=0),0,(O99/$C$69))</f>
        <v>0</v>
      </c>
      <c r="Q99" s="4"/>
      <c r="R99" s="2"/>
      <c r="S99" s="4"/>
      <c r="T99" s="4"/>
      <c r="AB99" s="134">
        <v>132</v>
      </c>
      <c r="AC99" s="134">
        <v>132</v>
      </c>
      <c r="AD99" s="134">
        <v>132</v>
      </c>
      <c r="AE99" s="134">
        <v>132</v>
      </c>
      <c r="AF99" s="134">
        <v>132</v>
      </c>
      <c r="AG99" s="134">
        <v>132</v>
      </c>
      <c r="AH99" s="134">
        <v>132</v>
      </c>
      <c r="AI99" s="134">
        <v>132</v>
      </c>
    </row>
    <row r="100" spans="2:35" x14ac:dyDescent="0.25">
      <c r="B100" s="122">
        <v>99</v>
      </c>
      <c r="D100" s="2"/>
      <c r="E100" s="7" t="s">
        <v>261</v>
      </c>
      <c r="F100" s="67">
        <v>20000000</v>
      </c>
      <c r="G100" s="116">
        <f t="shared" si="2"/>
        <v>0</v>
      </c>
      <c r="H100" s="4"/>
      <c r="I100" s="2"/>
      <c r="J100" s="4"/>
      <c r="K100" s="4"/>
      <c r="M100" s="2"/>
      <c r="N100" s="7" t="s">
        <v>76</v>
      </c>
      <c r="O100" s="67">
        <v>0</v>
      </c>
      <c r="P100" s="124">
        <f t="shared" si="3"/>
        <v>0</v>
      </c>
      <c r="Q100" s="4"/>
      <c r="R100" s="2"/>
      <c r="S100" s="4"/>
      <c r="T100" s="4"/>
      <c r="AB100" s="134">
        <v>133</v>
      </c>
      <c r="AC100" s="134">
        <v>133</v>
      </c>
      <c r="AD100" s="134">
        <v>133</v>
      </c>
      <c r="AE100" s="134">
        <v>133</v>
      </c>
      <c r="AF100" s="134">
        <v>133</v>
      </c>
      <c r="AG100" s="134">
        <v>133</v>
      </c>
      <c r="AH100" s="134">
        <v>133</v>
      </c>
      <c r="AI100" s="134">
        <v>133</v>
      </c>
    </row>
    <row r="101" spans="2:35" x14ac:dyDescent="0.25">
      <c r="B101" s="122">
        <v>100</v>
      </c>
      <c r="D101" s="2"/>
      <c r="E101" s="11" t="s">
        <v>262</v>
      </c>
      <c r="F101" s="71">
        <v>20000000</v>
      </c>
      <c r="G101" s="61">
        <f>IF(($C$69=0),0,(F101/$C$69))</f>
        <v>0</v>
      </c>
      <c r="H101" s="4"/>
      <c r="I101" s="2"/>
      <c r="J101" s="4"/>
      <c r="K101" s="4"/>
      <c r="M101" s="2"/>
      <c r="N101" s="11" t="s">
        <v>77</v>
      </c>
      <c r="O101" s="71">
        <v>23333330000</v>
      </c>
      <c r="P101" s="61">
        <f t="shared" si="3"/>
        <v>0</v>
      </c>
      <c r="Q101" s="4"/>
      <c r="R101" s="2"/>
      <c r="S101" s="4"/>
      <c r="T101" s="4"/>
      <c r="AB101" s="134">
        <v>134</v>
      </c>
      <c r="AC101" s="134">
        <v>134</v>
      </c>
      <c r="AD101" s="134">
        <v>134</v>
      </c>
      <c r="AE101" s="134">
        <v>134</v>
      </c>
      <c r="AF101" s="134">
        <v>134</v>
      </c>
      <c r="AG101" s="134">
        <v>134</v>
      </c>
      <c r="AH101" s="134">
        <v>134</v>
      </c>
      <c r="AI101" s="134">
        <v>134</v>
      </c>
    </row>
    <row r="102" spans="2:35" x14ac:dyDescent="0.25">
      <c r="B102" s="122">
        <v>101</v>
      </c>
      <c r="D102" s="2"/>
      <c r="E102" s="11" t="s">
        <v>263</v>
      </c>
      <c r="F102" s="71">
        <v>20000000</v>
      </c>
      <c r="G102" s="61">
        <f t="shared" si="2"/>
        <v>0</v>
      </c>
      <c r="H102" s="4"/>
      <c r="I102" s="2"/>
      <c r="J102" s="4"/>
      <c r="K102" s="4"/>
      <c r="M102" s="2"/>
      <c r="N102" s="11" t="s">
        <v>78</v>
      </c>
      <c r="O102" s="71">
        <v>20000000000</v>
      </c>
      <c r="P102" s="61">
        <f t="shared" si="3"/>
        <v>0</v>
      </c>
      <c r="Q102" s="4"/>
      <c r="R102" s="2"/>
      <c r="S102" s="4"/>
      <c r="T102" s="4"/>
      <c r="AB102" s="134">
        <v>135</v>
      </c>
      <c r="AC102" s="134">
        <v>135</v>
      </c>
      <c r="AD102" s="134">
        <v>135</v>
      </c>
      <c r="AE102" s="134">
        <v>135</v>
      </c>
      <c r="AF102" s="134">
        <v>135</v>
      </c>
      <c r="AG102" s="134">
        <v>135</v>
      </c>
      <c r="AH102" s="134">
        <v>135</v>
      </c>
      <c r="AI102" s="134">
        <v>135</v>
      </c>
    </row>
    <row r="103" spans="2:35" x14ac:dyDescent="0.25">
      <c r="B103" s="122">
        <v>102</v>
      </c>
      <c r="D103" s="2"/>
      <c r="E103" s="12" t="s">
        <v>224</v>
      </c>
      <c r="F103" s="72">
        <f>F68+F97+F101+F102</f>
        <v>660000000</v>
      </c>
      <c r="G103" s="118">
        <f>G68+G97+G101+G102</f>
        <v>0</v>
      </c>
      <c r="H103" s="4"/>
      <c r="I103" s="2"/>
      <c r="J103" s="4"/>
      <c r="K103" s="4"/>
      <c r="M103" s="2"/>
      <c r="N103" s="12" t="s">
        <v>30</v>
      </c>
      <c r="O103" s="72">
        <f>O68+O97+O101+O102</f>
        <v>273333329999</v>
      </c>
      <c r="P103" s="126">
        <f>P68+P97+P101+P102</f>
        <v>0</v>
      </c>
      <c r="Q103" s="4"/>
      <c r="R103" s="2"/>
      <c r="S103" s="4"/>
      <c r="T103" s="4"/>
      <c r="AB103" s="134">
        <v>136</v>
      </c>
      <c r="AC103" s="134">
        <v>136</v>
      </c>
      <c r="AD103" s="134">
        <v>136</v>
      </c>
      <c r="AE103" s="134">
        <v>136</v>
      </c>
      <c r="AF103" s="134">
        <v>136</v>
      </c>
      <c r="AG103" s="134">
        <v>136</v>
      </c>
      <c r="AH103" s="134">
        <v>136</v>
      </c>
      <c r="AI103" s="134">
        <v>136</v>
      </c>
    </row>
    <row r="104" spans="2:35" x14ac:dyDescent="0.25">
      <c r="B104" s="122">
        <v>103</v>
      </c>
      <c r="D104" s="2"/>
      <c r="E104" s="2"/>
      <c r="F104" s="4"/>
      <c r="G104" s="4"/>
      <c r="H104" s="4"/>
      <c r="I104" s="2"/>
      <c r="J104" s="4"/>
      <c r="K104" s="4"/>
      <c r="M104" s="2"/>
      <c r="N104" s="2"/>
      <c r="O104" s="4"/>
      <c r="P104" s="4"/>
      <c r="Q104" s="4"/>
      <c r="R104" s="2"/>
      <c r="S104" s="4"/>
      <c r="T104" s="4"/>
      <c r="AB104" s="134">
        <v>137</v>
      </c>
      <c r="AC104" s="134">
        <v>137</v>
      </c>
      <c r="AD104" s="134">
        <v>137</v>
      </c>
      <c r="AE104" s="134">
        <v>137</v>
      </c>
      <c r="AF104" s="134">
        <v>137</v>
      </c>
      <c r="AG104" s="134">
        <v>137</v>
      </c>
      <c r="AH104" s="134">
        <v>137</v>
      </c>
      <c r="AI104" s="134">
        <v>137</v>
      </c>
    </row>
    <row r="105" spans="2:35" x14ac:dyDescent="0.25">
      <c r="B105" s="122">
        <v>104</v>
      </c>
      <c r="D105" s="2"/>
      <c r="E105" s="13" t="s">
        <v>264</v>
      </c>
      <c r="F105" s="17"/>
      <c r="G105" s="17"/>
      <c r="H105" s="28"/>
      <c r="I105" s="28"/>
      <c r="J105" s="28"/>
      <c r="K105" s="29"/>
      <c r="M105" s="2"/>
      <c r="N105" s="13" t="s">
        <v>79</v>
      </c>
      <c r="O105" s="17"/>
      <c r="P105" s="17"/>
      <c r="Q105" s="28"/>
      <c r="R105" s="28"/>
      <c r="S105" s="28"/>
      <c r="T105" s="29"/>
      <c r="AB105" s="134">
        <v>138</v>
      </c>
      <c r="AC105" s="134">
        <v>138</v>
      </c>
      <c r="AD105" s="134">
        <v>138</v>
      </c>
      <c r="AE105" s="134">
        <v>138</v>
      </c>
      <c r="AF105" s="134">
        <v>138</v>
      </c>
      <c r="AG105" s="134">
        <v>138</v>
      </c>
      <c r="AH105" s="134">
        <v>138</v>
      </c>
      <c r="AI105" s="134">
        <v>138</v>
      </c>
    </row>
    <row r="106" spans="2:35" x14ac:dyDescent="0.25">
      <c r="B106" s="122">
        <v>105</v>
      </c>
      <c r="D106" s="2"/>
      <c r="E106" s="18"/>
      <c r="F106" s="19" t="s">
        <v>217</v>
      </c>
      <c r="G106" s="22"/>
      <c r="H106" s="22"/>
      <c r="I106" s="19" t="s">
        <v>265</v>
      </c>
      <c r="J106" s="217" t="s">
        <v>266</v>
      </c>
      <c r="K106" s="218"/>
      <c r="M106" s="2"/>
      <c r="N106" s="18"/>
      <c r="O106" s="19" t="s">
        <v>24</v>
      </c>
      <c r="P106" s="22"/>
      <c r="Q106" s="22"/>
      <c r="R106" s="19" t="s">
        <v>80</v>
      </c>
      <c r="S106" s="217" t="s">
        <v>117</v>
      </c>
      <c r="T106" s="218"/>
      <c r="AB106" s="134">
        <v>139</v>
      </c>
      <c r="AC106" s="134">
        <v>139</v>
      </c>
      <c r="AD106" s="134">
        <v>139</v>
      </c>
      <c r="AE106" s="134">
        <v>139</v>
      </c>
      <c r="AF106" s="134">
        <v>139</v>
      </c>
      <c r="AG106" s="134">
        <v>139</v>
      </c>
      <c r="AH106" s="134">
        <v>139</v>
      </c>
      <c r="AI106" s="134">
        <v>139</v>
      </c>
    </row>
    <row r="107" spans="2:35" x14ac:dyDescent="0.25">
      <c r="B107" s="122">
        <v>106</v>
      </c>
      <c r="D107" s="2"/>
      <c r="E107" s="7" t="s">
        <v>267</v>
      </c>
      <c r="F107" s="67">
        <v>20000000</v>
      </c>
      <c r="G107" s="30"/>
      <c r="H107" s="30"/>
      <c r="I107" s="115">
        <f>IF(($C$83=0),0,(F107/$C$83))</f>
        <v>0</v>
      </c>
      <c r="J107" s="225">
        <f>IF(($C$69=0),0,(F107/$C$69))</f>
        <v>0</v>
      </c>
      <c r="K107" s="226"/>
      <c r="M107" s="2"/>
      <c r="N107" s="7" t="s">
        <v>164</v>
      </c>
      <c r="O107" s="67">
        <v>9999999999</v>
      </c>
      <c r="P107" s="30"/>
      <c r="Q107" s="30"/>
      <c r="R107" s="123">
        <f>IF(($C$83=0),0,(O107/$C$83))</f>
        <v>0</v>
      </c>
      <c r="S107" s="225">
        <f>IF(($C$69=0),0,(O107/$C$69))</f>
        <v>0</v>
      </c>
      <c r="T107" s="226"/>
      <c r="AB107" s="134">
        <v>140</v>
      </c>
      <c r="AC107" s="134">
        <v>140</v>
      </c>
      <c r="AD107" s="134">
        <v>140</v>
      </c>
      <c r="AE107" s="134">
        <v>140</v>
      </c>
      <c r="AF107" s="134">
        <v>140</v>
      </c>
      <c r="AG107" s="134">
        <v>140</v>
      </c>
      <c r="AH107" s="134">
        <v>140</v>
      </c>
      <c r="AI107" s="134">
        <v>140</v>
      </c>
    </row>
    <row r="108" spans="2:35" x14ac:dyDescent="0.25">
      <c r="B108" s="122">
        <v>107</v>
      </c>
      <c r="D108" s="2"/>
      <c r="E108" s="7" t="s">
        <v>268</v>
      </c>
      <c r="F108" s="67">
        <v>20000000</v>
      </c>
      <c r="G108" s="30"/>
      <c r="H108" s="30"/>
      <c r="I108" s="115">
        <f t="shared" ref="I108:I116" si="4">IF(($C$83=0),0,(F108/$C$83))</f>
        <v>0</v>
      </c>
      <c r="J108" s="225">
        <f t="shared" ref="J108:J114" si="5">IF(($C$69=0),0,(F108/$C$69))</f>
        <v>0</v>
      </c>
      <c r="K108" s="226"/>
      <c r="M108" s="2"/>
      <c r="N108" s="7" t="s">
        <v>81</v>
      </c>
      <c r="O108" s="67">
        <v>9999999999</v>
      </c>
      <c r="P108" s="30"/>
      <c r="Q108" s="30"/>
      <c r="R108" s="123">
        <f t="shared" ref="R108:R115" si="6">IF(($C$83=0),0,(O108/$C$83))</f>
        <v>0</v>
      </c>
      <c r="S108" s="225">
        <f t="shared" ref="S108:S115" si="7">IF(($C$69=0),0,(O108/$C$69))</f>
        <v>0</v>
      </c>
      <c r="T108" s="226"/>
      <c r="AB108" s="134">
        <v>141</v>
      </c>
      <c r="AC108" s="134">
        <v>141</v>
      </c>
      <c r="AD108" s="134">
        <v>141</v>
      </c>
      <c r="AE108" s="134">
        <v>141</v>
      </c>
      <c r="AF108" s="134">
        <v>141</v>
      </c>
      <c r="AG108" s="134">
        <v>141</v>
      </c>
      <c r="AH108" s="134">
        <v>141</v>
      </c>
      <c r="AI108" s="134">
        <v>141</v>
      </c>
    </row>
    <row r="109" spans="2:35" x14ac:dyDescent="0.25">
      <c r="B109" s="122">
        <v>108</v>
      </c>
      <c r="D109" s="2"/>
      <c r="E109" s="7" t="s">
        <v>269</v>
      </c>
      <c r="F109" s="67">
        <v>20000000</v>
      </c>
      <c r="G109" s="30"/>
      <c r="H109" s="30"/>
      <c r="I109" s="115">
        <f t="shared" si="4"/>
        <v>0</v>
      </c>
      <c r="J109" s="225">
        <f t="shared" si="5"/>
        <v>0</v>
      </c>
      <c r="K109" s="226"/>
      <c r="M109" s="2"/>
      <c r="N109" s="7" t="s">
        <v>82</v>
      </c>
      <c r="O109" s="67">
        <v>9999999999</v>
      </c>
      <c r="P109" s="30"/>
      <c r="Q109" s="30"/>
      <c r="R109" s="123">
        <f t="shared" si="6"/>
        <v>0</v>
      </c>
      <c r="S109" s="225">
        <f t="shared" si="7"/>
        <v>0</v>
      </c>
      <c r="T109" s="226"/>
      <c r="AB109" s="134">
        <v>142</v>
      </c>
      <c r="AC109" s="134">
        <v>142</v>
      </c>
      <c r="AD109" s="134">
        <v>142</v>
      </c>
      <c r="AE109" s="134">
        <v>142</v>
      </c>
      <c r="AF109" s="134">
        <v>142</v>
      </c>
      <c r="AG109" s="134">
        <v>142</v>
      </c>
      <c r="AH109" s="134">
        <v>142</v>
      </c>
      <c r="AI109" s="134">
        <v>142</v>
      </c>
    </row>
    <row r="110" spans="2:35" x14ac:dyDescent="0.25">
      <c r="B110" s="122">
        <v>109</v>
      </c>
      <c r="D110" s="2"/>
      <c r="E110" s="7" t="s">
        <v>270</v>
      </c>
      <c r="F110" s="67">
        <v>20000000</v>
      </c>
      <c r="G110" s="30"/>
      <c r="H110" s="30"/>
      <c r="I110" s="115">
        <f t="shared" si="4"/>
        <v>0</v>
      </c>
      <c r="J110" s="225">
        <f t="shared" si="5"/>
        <v>0</v>
      </c>
      <c r="K110" s="226"/>
      <c r="M110" s="2"/>
      <c r="N110" s="7" t="s">
        <v>83</v>
      </c>
      <c r="O110" s="67">
        <v>9999999999</v>
      </c>
      <c r="P110" s="30"/>
      <c r="Q110" s="30"/>
      <c r="R110" s="123">
        <f t="shared" si="6"/>
        <v>0</v>
      </c>
      <c r="S110" s="225">
        <f t="shared" si="7"/>
        <v>0</v>
      </c>
      <c r="T110" s="226"/>
      <c r="AB110" s="134">
        <v>143</v>
      </c>
      <c r="AC110" s="134">
        <v>143</v>
      </c>
      <c r="AD110" s="134">
        <v>143</v>
      </c>
      <c r="AE110" s="134">
        <v>143</v>
      </c>
      <c r="AF110" s="134">
        <v>143</v>
      </c>
      <c r="AG110" s="134">
        <v>143</v>
      </c>
      <c r="AH110" s="134">
        <v>143</v>
      </c>
      <c r="AI110" s="134">
        <v>143</v>
      </c>
    </row>
    <row r="111" spans="2:35" x14ac:dyDescent="0.25">
      <c r="B111" s="122">
        <v>110</v>
      </c>
      <c r="D111" s="2"/>
      <c r="E111" s="7" t="s">
        <v>84</v>
      </c>
      <c r="F111" s="67">
        <v>20000000</v>
      </c>
      <c r="G111" s="30"/>
      <c r="H111" s="30"/>
      <c r="I111" s="115">
        <f t="shared" si="4"/>
        <v>0</v>
      </c>
      <c r="J111" s="225">
        <f t="shared" si="5"/>
        <v>0</v>
      </c>
      <c r="K111" s="226"/>
      <c r="M111" s="2"/>
      <c r="N111" s="7" t="s">
        <v>84</v>
      </c>
      <c r="O111" s="67">
        <v>9999999999</v>
      </c>
      <c r="P111" s="30"/>
      <c r="Q111" s="30"/>
      <c r="R111" s="123">
        <f t="shared" si="6"/>
        <v>0</v>
      </c>
      <c r="S111" s="225">
        <f t="shared" si="7"/>
        <v>0</v>
      </c>
      <c r="T111" s="226"/>
      <c r="AB111" s="134">
        <v>144</v>
      </c>
      <c r="AC111" s="134">
        <v>144</v>
      </c>
      <c r="AD111" s="134">
        <v>144</v>
      </c>
      <c r="AE111" s="134">
        <v>144</v>
      </c>
      <c r="AF111" s="134">
        <v>144</v>
      </c>
      <c r="AG111" s="134">
        <v>144</v>
      </c>
      <c r="AH111" s="134">
        <v>144</v>
      </c>
      <c r="AI111" s="134">
        <v>144</v>
      </c>
    </row>
    <row r="112" spans="2:35" x14ac:dyDescent="0.25">
      <c r="B112" s="122">
        <v>111</v>
      </c>
      <c r="D112" s="2"/>
      <c r="E112" s="7" t="s">
        <v>271</v>
      </c>
      <c r="F112" s="67">
        <v>20000000</v>
      </c>
      <c r="G112" s="30"/>
      <c r="H112" s="30"/>
      <c r="I112" s="115">
        <f t="shared" si="4"/>
        <v>0</v>
      </c>
      <c r="J112" s="225">
        <f t="shared" si="5"/>
        <v>0</v>
      </c>
      <c r="K112" s="226"/>
      <c r="M112" s="2"/>
      <c r="N112" s="7" t="s">
        <v>85</v>
      </c>
      <c r="O112" s="67">
        <v>9999999999</v>
      </c>
      <c r="P112" s="30"/>
      <c r="Q112" s="30"/>
      <c r="R112" s="123">
        <f t="shared" si="6"/>
        <v>0</v>
      </c>
      <c r="S112" s="225">
        <f t="shared" si="7"/>
        <v>0</v>
      </c>
      <c r="T112" s="226"/>
      <c r="AB112" s="134">
        <v>145</v>
      </c>
      <c r="AC112" s="134">
        <v>145</v>
      </c>
      <c r="AD112" s="134">
        <v>145</v>
      </c>
      <c r="AE112" s="134">
        <v>145</v>
      </c>
      <c r="AF112" s="134">
        <v>145</v>
      </c>
      <c r="AG112" s="134">
        <v>145</v>
      </c>
      <c r="AH112" s="134">
        <v>145</v>
      </c>
      <c r="AI112" s="134">
        <v>145</v>
      </c>
    </row>
    <row r="113" spans="2:35" x14ac:dyDescent="0.25">
      <c r="B113" s="122">
        <v>112</v>
      </c>
      <c r="D113" s="2"/>
      <c r="E113" s="7" t="s">
        <v>272</v>
      </c>
      <c r="F113" s="67">
        <v>20000000</v>
      </c>
      <c r="G113" s="30"/>
      <c r="H113" s="30"/>
      <c r="I113" s="115">
        <f t="shared" si="4"/>
        <v>0</v>
      </c>
      <c r="J113" s="225">
        <f t="shared" si="5"/>
        <v>0</v>
      </c>
      <c r="K113" s="226"/>
      <c r="M113" s="2"/>
      <c r="N113" s="7" t="s">
        <v>86</v>
      </c>
      <c r="O113" s="67">
        <v>9999999999</v>
      </c>
      <c r="P113" s="30"/>
      <c r="Q113" s="30"/>
      <c r="R113" s="123">
        <f t="shared" si="6"/>
        <v>0</v>
      </c>
      <c r="S113" s="225">
        <f t="shared" si="7"/>
        <v>0</v>
      </c>
      <c r="T113" s="226"/>
      <c r="AB113" s="134">
        <v>146</v>
      </c>
      <c r="AC113" s="134">
        <v>146</v>
      </c>
      <c r="AD113" s="134">
        <v>146</v>
      </c>
      <c r="AE113" s="134">
        <v>146</v>
      </c>
      <c r="AF113" s="134">
        <v>146</v>
      </c>
      <c r="AG113" s="134">
        <v>146</v>
      </c>
      <c r="AH113" s="134">
        <v>146</v>
      </c>
      <c r="AI113" s="134">
        <v>146</v>
      </c>
    </row>
    <row r="114" spans="2:35" x14ac:dyDescent="0.25">
      <c r="B114" s="122">
        <v>113</v>
      </c>
      <c r="D114" s="2"/>
      <c r="E114" s="7" t="s">
        <v>273</v>
      </c>
      <c r="F114" s="67">
        <v>20000000</v>
      </c>
      <c r="G114" s="30"/>
      <c r="H114" s="30"/>
      <c r="I114" s="115">
        <f t="shared" si="4"/>
        <v>0</v>
      </c>
      <c r="J114" s="225">
        <f t="shared" si="5"/>
        <v>0</v>
      </c>
      <c r="K114" s="226"/>
      <c r="M114" s="2"/>
      <c r="N114" s="7" t="s">
        <v>87</v>
      </c>
      <c r="O114" s="67">
        <v>9999999999</v>
      </c>
      <c r="P114" s="30"/>
      <c r="Q114" s="30"/>
      <c r="R114" s="123">
        <f t="shared" si="6"/>
        <v>0</v>
      </c>
      <c r="S114" s="225">
        <f t="shared" si="7"/>
        <v>0</v>
      </c>
      <c r="T114" s="226"/>
      <c r="AB114" s="134">
        <v>147</v>
      </c>
      <c r="AC114" s="134">
        <v>147</v>
      </c>
      <c r="AD114" s="134">
        <v>147</v>
      </c>
      <c r="AE114" s="134">
        <v>147</v>
      </c>
      <c r="AF114" s="134">
        <v>147</v>
      </c>
      <c r="AG114" s="134">
        <v>147</v>
      </c>
      <c r="AH114" s="134">
        <v>147</v>
      </c>
      <c r="AI114" s="134">
        <v>147</v>
      </c>
    </row>
    <row r="115" spans="2:35" x14ac:dyDescent="0.25">
      <c r="B115" s="122">
        <v>114</v>
      </c>
      <c r="D115" s="2"/>
      <c r="E115" s="7" t="s">
        <v>88</v>
      </c>
      <c r="F115" s="67">
        <v>20000000</v>
      </c>
      <c r="G115" s="30"/>
      <c r="H115" s="30"/>
      <c r="I115" s="115">
        <f t="shared" si="4"/>
        <v>0</v>
      </c>
      <c r="J115" s="225">
        <f>IF(($C$69=0),0,(F115/$C$69))</f>
        <v>0</v>
      </c>
      <c r="K115" s="226"/>
      <c r="M115" s="2"/>
      <c r="N115" s="7" t="s">
        <v>88</v>
      </c>
      <c r="O115" s="67">
        <v>9999999999</v>
      </c>
      <c r="P115" s="30"/>
      <c r="Q115" s="30"/>
      <c r="R115" s="123">
        <f t="shared" si="6"/>
        <v>0</v>
      </c>
      <c r="S115" s="225">
        <f t="shared" si="7"/>
        <v>0</v>
      </c>
      <c r="T115" s="226"/>
      <c r="AB115" s="134">
        <v>148</v>
      </c>
      <c r="AC115" s="134">
        <v>148</v>
      </c>
      <c r="AD115" s="134">
        <v>148</v>
      </c>
      <c r="AE115" s="134">
        <v>148</v>
      </c>
      <c r="AF115" s="134">
        <v>148</v>
      </c>
      <c r="AG115" s="134">
        <v>148</v>
      </c>
      <c r="AH115" s="134">
        <v>148</v>
      </c>
      <c r="AI115" s="134">
        <v>148</v>
      </c>
    </row>
    <row r="116" spans="2:35" x14ac:dyDescent="0.25">
      <c r="B116" s="122">
        <v>115</v>
      </c>
      <c r="D116" s="2"/>
      <c r="E116" s="7" t="s">
        <v>89</v>
      </c>
      <c r="F116" s="67">
        <v>20000000</v>
      </c>
      <c r="G116" s="30"/>
      <c r="H116" s="30"/>
      <c r="I116" s="115">
        <f t="shared" si="4"/>
        <v>0</v>
      </c>
      <c r="J116" s="225">
        <f>IF(($C$69=0),0,(F116/$C$69))</f>
        <v>0</v>
      </c>
      <c r="K116" s="226"/>
      <c r="M116" s="2"/>
      <c r="N116" s="7" t="s">
        <v>89</v>
      </c>
      <c r="O116" s="67">
        <v>12000000000</v>
      </c>
      <c r="P116" s="30"/>
      <c r="Q116" s="30"/>
      <c r="R116" s="123">
        <f>IF(($C$83=0),0,(O116/$C$83))</f>
        <v>0</v>
      </c>
      <c r="S116" s="225">
        <f>IF(($C$69=0),0,(O116/$C$69))</f>
        <v>0</v>
      </c>
      <c r="T116" s="226"/>
      <c r="AB116" s="134">
        <v>149</v>
      </c>
      <c r="AC116" s="134">
        <v>149</v>
      </c>
      <c r="AD116" s="134">
        <v>149</v>
      </c>
      <c r="AE116" s="134">
        <v>149</v>
      </c>
      <c r="AF116" s="134">
        <v>149</v>
      </c>
      <c r="AG116" s="134">
        <v>149</v>
      </c>
      <c r="AH116" s="134">
        <v>149</v>
      </c>
      <c r="AI116" s="134">
        <v>149</v>
      </c>
    </row>
    <row r="117" spans="2:35" x14ac:dyDescent="0.25">
      <c r="B117" s="122">
        <v>116</v>
      </c>
      <c r="D117" s="2"/>
      <c r="E117" s="12" t="s">
        <v>224</v>
      </c>
      <c r="F117" s="72">
        <f>SUM(F107:F116)</f>
        <v>200000000</v>
      </c>
      <c r="G117" s="31"/>
      <c r="H117" s="31"/>
      <c r="I117" s="117">
        <f>SUM(I107:I116)</f>
        <v>0</v>
      </c>
      <c r="J117" s="221">
        <f>SUM(J107:K116)</f>
        <v>0</v>
      </c>
      <c r="K117" s="222"/>
      <c r="M117" s="2"/>
      <c r="N117" s="12" t="s">
        <v>30</v>
      </c>
      <c r="O117" s="72">
        <f>SUM(O107:O116)</f>
        <v>101999999991</v>
      </c>
      <c r="P117" s="31"/>
      <c r="Q117" s="31"/>
      <c r="R117" s="125">
        <f>SUM(R107:R116)</f>
        <v>0</v>
      </c>
      <c r="S117" s="221">
        <f>SUM(S107:T116)</f>
        <v>0</v>
      </c>
      <c r="T117" s="222"/>
      <c r="AB117" s="134">
        <v>150</v>
      </c>
      <c r="AC117" s="134">
        <v>150</v>
      </c>
      <c r="AD117" s="134">
        <v>150</v>
      </c>
      <c r="AE117" s="134">
        <v>150</v>
      </c>
      <c r="AF117" s="134">
        <v>150</v>
      </c>
      <c r="AG117" s="134">
        <v>150</v>
      </c>
      <c r="AH117" s="134">
        <v>150</v>
      </c>
      <c r="AI117" s="134">
        <v>150</v>
      </c>
    </row>
    <row r="118" spans="2:35" x14ac:dyDescent="0.25">
      <c r="B118" s="122">
        <v>117</v>
      </c>
      <c r="D118" s="2"/>
      <c r="E118" s="2"/>
      <c r="F118" s="4"/>
      <c r="G118" s="4"/>
      <c r="H118" s="4"/>
      <c r="I118" s="2"/>
      <c r="J118" s="4"/>
      <c r="K118" s="4"/>
      <c r="M118" s="2"/>
      <c r="N118" s="2"/>
      <c r="O118" s="4"/>
      <c r="P118" s="4"/>
      <c r="Q118" s="4"/>
      <c r="R118" s="2"/>
      <c r="S118" s="4"/>
      <c r="T118" s="4"/>
      <c r="AB118" s="134">
        <v>151</v>
      </c>
      <c r="AC118" s="134">
        <v>151</v>
      </c>
      <c r="AD118" s="134">
        <v>151</v>
      </c>
      <c r="AE118" s="134">
        <v>151</v>
      </c>
      <c r="AF118" s="134">
        <v>151</v>
      </c>
      <c r="AG118" s="134">
        <v>151</v>
      </c>
      <c r="AH118" s="134">
        <v>151</v>
      </c>
      <c r="AI118" s="134">
        <v>151</v>
      </c>
    </row>
    <row r="119" spans="2:35" ht="15.75" thickBot="1" x14ac:dyDescent="0.3">
      <c r="B119" s="122">
        <v>118</v>
      </c>
      <c r="D119" s="58" t="s">
        <v>42</v>
      </c>
      <c r="E119" s="24" t="s">
        <v>274</v>
      </c>
      <c r="F119" s="25"/>
      <c r="G119" s="25"/>
      <c r="H119" s="25"/>
      <c r="I119" s="24"/>
      <c r="J119" s="25"/>
      <c r="K119" s="25"/>
      <c r="M119" s="58" t="s">
        <v>42</v>
      </c>
      <c r="N119" s="24" t="s">
        <v>161</v>
      </c>
      <c r="O119" s="25"/>
      <c r="P119" s="25"/>
      <c r="Q119" s="25"/>
      <c r="R119" s="24"/>
      <c r="S119" s="25"/>
      <c r="T119" s="25"/>
      <c r="AB119" s="134">
        <v>152</v>
      </c>
      <c r="AC119" s="134">
        <v>152</v>
      </c>
      <c r="AD119" s="134">
        <v>152</v>
      </c>
      <c r="AE119" s="134">
        <v>152</v>
      </c>
      <c r="AF119" s="134">
        <v>152</v>
      </c>
      <c r="AG119" s="134">
        <v>152</v>
      </c>
      <c r="AH119" s="134">
        <v>152</v>
      </c>
      <c r="AI119" s="134">
        <v>152</v>
      </c>
    </row>
    <row r="120" spans="2:35" x14ac:dyDescent="0.25">
      <c r="B120" s="122">
        <v>119</v>
      </c>
      <c r="D120" s="2"/>
      <c r="E120" s="2"/>
      <c r="F120" s="4"/>
      <c r="G120" s="4"/>
      <c r="H120" s="4"/>
      <c r="I120" s="2"/>
      <c r="J120" s="4"/>
      <c r="K120" s="4"/>
      <c r="M120" s="2"/>
      <c r="N120" s="2"/>
      <c r="O120" s="4"/>
      <c r="P120" s="4"/>
      <c r="Q120" s="4"/>
      <c r="R120" s="2"/>
      <c r="S120" s="4"/>
      <c r="T120" s="4"/>
      <c r="AB120" s="134">
        <v>153</v>
      </c>
      <c r="AC120" s="134">
        <v>153</v>
      </c>
      <c r="AD120" s="134">
        <v>153</v>
      </c>
      <c r="AE120" s="134">
        <v>153</v>
      </c>
      <c r="AF120" s="134">
        <v>153</v>
      </c>
      <c r="AG120" s="134">
        <v>153</v>
      </c>
      <c r="AH120" s="134">
        <v>153</v>
      </c>
      <c r="AI120" s="134">
        <v>153</v>
      </c>
    </row>
    <row r="121" spans="2:35" x14ac:dyDescent="0.25">
      <c r="B121" s="122">
        <v>120</v>
      </c>
      <c r="D121" s="2"/>
      <c r="E121" s="219" t="s">
        <v>274</v>
      </c>
      <c r="F121" s="220"/>
      <c r="G121" s="119"/>
      <c r="H121" s="119"/>
      <c r="I121" s="119" t="s">
        <v>217</v>
      </c>
      <c r="J121" s="215" t="s">
        <v>41</v>
      </c>
      <c r="K121" s="216"/>
      <c r="M121" s="2"/>
      <c r="N121" s="219" t="s">
        <v>160</v>
      </c>
      <c r="O121" s="220"/>
      <c r="P121" s="127"/>
      <c r="Q121" s="127"/>
      <c r="R121" s="127" t="s">
        <v>24</v>
      </c>
      <c r="S121" s="215" t="s">
        <v>41</v>
      </c>
      <c r="T121" s="216"/>
      <c r="AB121" s="134">
        <v>154</v>
      </c>
      <c r="AC121" s="134">
        <v>154</v>
      </c>
      <c r="AD121" s="134">
        <v>154</v>
      </c>
      <c r="AE121" s="134">
        <v>154</v>
      </c>
      <c r="AF121" s="134">
        <v>154</v>
      </c>
      <c r="AG121" s="134">
        <v>154</v>
      </c>
      <c r="AH121" s="134">
        <v>154</v>
      </c>
      <c r="AI121" s="134">
        <v>154</v>
      </c>
    </row>
    <row r="122" spans="2:35" x14ac:dyDescent="0.25">
      <c r="B122" s="122">
        <v>121</v>
      </c>
      <c r="D122" s="2"/>
      <c r="E122" s="230" t="s">
        <v>275</v>
      </c>
      <c r="F122" s="231"/>
      <c r="G122" s="8"/>
      <c r="H122" s="8"/>
      <c r="I122" s="67">
        <v>20000000</v>
      </c>
      <c r="J122" s="225">
        <f>IF(($F$95=0),0,(I122/$F$95))</f>
        <v>1</v>
      </c>
      <c r="K122" s="226"/>
      <c r="M122" s="2"/>
      <c r="N122" s="223" t="s">
        <v>158</v>
      </c>
      <c r="O122" s="224"/>
      <c r="P122" s="8"/>
      <c r="Q122" s="8"/>
      <c r="R122" s="67">
        <v>9999999999</v>
      </c>
      <c r="S122" s="225">
        <f>IF(($F$95=0),0,(R122/$F$95))</f>
        <v>499.99999995000002</v>
      </c>
      <c r="T122" s="226"/>
      <c r="AB122" s="134">
        <v>155</v>
      </c>
      <c r="AC122" s="134">
        <v>155</v>
      </c>
      <c r="AD122" s="134">
        <v>155</v>
      </c>
      <c r="AE122" s="134">
        <v>155</v>
      </c>
      <c r="AF122" s="134">
        <v>155</v>
      </c>
      <c r="AG122" s="134">
        <v>155</v>
      </c>
      <c r="AH122" s="134">
        <v>155</v>
      </c>
      <c r="AI122" s="134">
        <v>155</v>
      </c>
    </row>
    <row r="123" spans="2:35" x14ac:dyDescent="0.25">
      <c r="B123" s="122">
        <v>122</v>
      </c>
      <c r="D123" s="2"/>
      <c r="E123" s="232" t="s">
        <v>276</v>
      </c>
      <c r="F123" s="233"/>
      <c r="G123" s="8"/>
      <c r="H123" s="8"/>
      <c r="I123" s="67">
        <v>20000000</v>
      </c>
      <c r="J123" s="225">
        <f>IF(($F$95=0),0,(I123/$F$95))</f>
        <v>1</v>
      </c>
      <c r="K123" s="226"/>
      <c r="M123" s="2"/>
      <c r="N123" s="223" t="s">
        <v>155</v>
      </c>
      <c r="O123" s="224"/>
      <c r="P123" s="8"/>
      <c r="Q123" s="8"/>
      <c r="R123" s="67">
        <v>0</v>
      </c>
      <c r="S123" s="225">
        <f t="shared" ref="S123:S128" si="8">IF(($F$95=0),0,(R123/$F$95))</f>
        <v>0</v>
      </c>
      <c r="T123" s="226"/>
      <c r="AB123" s="134">
        <v>156</v>
      </c>
      <c r="AC123" s="134">
        <v>156</v>
      </c>
      <c r="AD123" s="134">
        <v>156</v>
      </c>
      <c r="AE123" s="134">
        <v>156</v>
      </c>
      <c r="AF123" s="134">
        <v>156</v>
      </c>
      <c r="AG123" s="134">
        <v>156</v>
      </c>
      <c r="AH123" s="134">
        <v>156</v>
      </c>
      <c r="AI123" s="134">
        <v>156</v>
      </c>
    </row>
    <row r="124" spans="2:35" x14ac:dyDescent="0.25">
      <c r="B124" s="122">
        <v>123</v>
      </c>
      <c r="D124" s="2"/>
      <c r="E124" s="232" t="s">
        <v>277</v>
      </c>
      <c r="F124" s="233"/>
      <c r="G124" s="8"/>
      <c r="H124" s="8"/>
      <c r="I124" s="67">
        <v>20000000</v>
      </c>
      <c r="J124" s="225">
        <f t="shared" ref="J124:J128" si="9">IF(($F$95=0),0,(I124/$F$95))</f>
        <v>1</v>
      </c>
      <c r="K124" s="226"/>
      <c r="M124" s="2"/>
      <c r="N124" s="227" t="s">
        <v>154</v>
      </c>
      <c r="O124" s="228"/>
      <c r="P124" s="8"/>
      <c r="Q124" s="8"/>
      <c r="R124" s="67">
        <v>0</v>
      </c>
      <c r="S124" s="225">
        <f t="shared" si="8"/>
        <v>0</v>
      </c>
      <c r="T124" s="226"/>
      <c r="AB124" s="134">
        <v>157</v>
      </c>
      <c r="AC124" s="134">
        <v>157</v>
      </c>
      <c r="AD124" s="134">
        <v>157</v>
      </c>
      <c r="AE124" s="134">
        <v>157</v>
      </c>
      <c r="AF124" s="134">
        <v>157</v>
      </c>
      <c r="AG124" s="134">
        <v>157</v>
      </c>
      <c r="AH124" s="134">
        <v>157</v>
      </c>
      <c r="AI124" s="134">
        <v>157</v>
      </c>
    </row>
    <row r="125" spans="2:35" x14ac:dyDescent="0.25">
      <c r="B125" s="122">
        <v>124</v>
      </c>
      <c r="D125" s="2"/>
      <c r="E125" s="232" t="s">
        <v>278</v>
      </c>
      <c r="F125" s="233"/>
      <c r="G125" s="8"/>
      <c r="H125" s="8"/>
      <c r="I125" s="67">
        <v>20000000</v>
      </c>
      <c r="J125" s="225">
        <f t="shared" si="9"/>
        <v>1</v>
      </c>
      <c r="K125" s="226"/>
      <c r="M125" s="2"/>
      <c r="N125" s="223" t="s">
        <v>157</v>
      </c>
      <c r="O125" s="224"/>
      <c r="P125" s="8"/>
      <c r="Q125" s="8"/>
      <c r="R125" s="67">
        <v>9999999999</v>
      </c>
      <c r="S125" s="225">
        <f t="shared" si="8"/>
        <v>499.99999995000002</v>
      </c>
      <c r="T125" s="226"/>
      <c r="AB125" s="134">
        <v>158</v>
      </c>
      <c r="AC125" s="134">
        <v>158</v>
      </c>
      <c r="AD125" s="134">
        <v>158</v>
      </c>
      <c r="AE125" s="134">
        <v>158</v>
      </c>
      <c r="AF125" s="134">
        <v>158</v>
      </c>
      <c r="AG125" s="134">
        <v>158</v>
      </c>
      <c r="AH125" s="134">
        <v>158</v>
      </c>
      <c r="AI125" s="134">
        <v>158</v>
      </c>
    </row>
    <row r="126" spans="2:35" x14ac:dyDescent="0.25">
      <c r="B126" s="122">
        <v>125</v>
      </c>
      <c r="D126" s="2"/>
      <c r="E126" s="232" t="s">
        <v>279</v>
      </c>
      <c r="F126" s="233"/>
      <c r="G126" s="8"/>
      <c r="H126" s="8"/>
      <c r="I126" s="67">
        <v>20000000</v>
      </c>
      <c r="J126" s="225">
        <f t="shared" si="9"/>
        <v>1</v>
      </c>
      <c r="K126" s="226"/>
      <c r="M126" s="2"/>
      <c r="N126" s="223" t="s">
        <v>156</v>
      </c>
      <c r="O126" s="224"/>
      <c r="P126" s="8"/>
      <c r="Q126" s="8"/>
      <c r="R126" s="67">
        <v>559101638.75</v>
      </c>
      <c r="S126" s="225">
        <f t="shared" si="8"/>
        <v>27.955081937500001</v>
      </c>
      <c r="T126" s="226"/>
      <c r="AB126" s="134">
        <v>159</v>
      </c>
      <c r="AC126" s="134">
        <v>159</v>
      </c>
      <c r="AD126" s="134">
        <v>159</v>
      </c>
      <c r="AE126" s="134">
        <v>159</v>
      </c>
      <c r="AF126" s="134">
        <v>159</v>
      </c>
      <c r="AG126" s="134">
        <v>159</v>
      </c>
      <c r="AH126" s="134">
        <v>159</v>
      </c>
      <c r="AI126" s="134">
        <v>159</v>
      </c>
    </row>
    <row r="127" spans="2:35" x14ac:dyDescent="0.25">
      <c r="B127" s="122">
        <v>126</v>
      </c>
      <c r="D127" s="2"/>
      <c r="E127" s="232" t="s">
        <v>280</v>
      </c>
      <c r="F127" s="233"/>
      <c r="G127" s="8"/>
      <c r="H127" s="8"/>
      <c r="I127" s="67">
        <v>20000000</v>
      </c>
      <c r="J127" s="225">
        <f t="shared" si="9"/>
        <v>1</v>
      </c>
      <c r="K127" s="226"/>
      <c r="M127" s="2"/>
      <c r="N127" s="223" t="s">
        <v>159</v>
      </c>
      <c r="O127" s="224"/>
      <c r="P127" s="8"/>
      <c r="Q127" s="8"/>
      <c r="R127" s="67">
        <v>442366849.20999998</v>
      </c>
      <c r="S127" s="225">
        <f t="shared" si="8"/>
        <v>22.118342460499999</v>
      </c>
      <c r="T127" s="226"/>
      <c r="AB127" s="134">
        <v>160</v>
      </c>
      <c r="AC127" s="134">
        <v>160</v>
      </c>
      <c r="AD127" s="134">
        <v>160</v>
      </c>
      <c r="AE127" s="134">
        <v>160</v>
      </c>
      <c r="AF127" s="134">
        <v>160</v>
      </c>
      <c r="AG127" s="134">
        <v>160</v>
      </c>
      <c r="AH127" s="134">
        <v>160</v>
      </c>
      <c r="AI127" s="134">
        <v>160</v>
      </c>
    </row>
    <row r="128" spans="2:35" x14ac:dyDescent="0.25">
      <c r="B128" s="122">
        <v>127</v>
      </c>
      <c r="D128" s="2"/>
      <c r="E128" s="232" t="s">
        <v>281</v>
      </c>
      <c r="F128" s="233"/>
      <c r="G128" s="8"/>
      <c r="H128" s="8"/>
      <c r="I128" s="67">
        <v>20000000</v>
      </c>
      <c r="J128" s="225">
        <f t="shared" si="9"/>
        <v>1</v>
      </c>
      <c r="K128" s="226"/>
      <c r="M128" s="2"/>
      <c r="N128" s="223" t="s">
        <v>168</v>
      </c>
      <c r="O128" s="224"/>
      <c r="P128" s="8"/>
      <c r="Q128" s="8"/>
      <c r="R128" s="67">
        <v>2333333</v>
      </c>
      <c r="S128" s="225">
        <f t="shared" si="8"/>
        <v>0.11666665</v>
      </c>
      <c r="T128" s="226"/>
      <c r="AB128" s="134">
        <v>161</v>
      </c>
      <c r="AC128" s="134">
        <v>161</v>
      </c>
      <c r="AD128" s="134">
        <v>161</v>
      </c>
      <c r="AE128" s="134">
        <v>161</v>
      </c>
      <c r="AF128" s="134">
        <v>161</v>
      </c>
      <c r="AG128" s="134">
        <v>161</v>
      </c>
      <c r="AH128" s="134">
        <v>161</v>
      </c>
      <c r="AI128" s="134">
        <v>161</v>
      </c>
    </row>
    <row r="129" spans="2:35" x14ac:dyDescent="0.25">
      <c r="B129" s="122">
        <v>128</v>
      </c>
      <c r="D129" s="2"/>
      <c r="E129" s="219" t="s">
        <v>224</v>
      </c>
      <c r="F129" s="220"/>
      <c r="G129" s="23"/>
      <c r="H129" s="23"/>
      <c r="I129" s="72">
        <f>SUM(I122:I128)</f>
        <v>140000000</v>
      </c>
      <c r="J129" s="221">
        <f>SUM(J122:K128)</f>
        <v>7</v>
      </c>
      <c r="K129" s="222"/>
      <c r="M129" s="2"/>
      <c r="N129" s="219" t="s">
        <v>30</v>
      </c>
      <c r="O129" s="220"/>
      <c r="P129" s="23"/>
      <c r="Q129" s="23"/>
      <c r="R129" s="72">
        <f>SUM(R122:R128)</f>
        <v>21003801818.959999</v>
      </c>
      <c r="S129" s="221">
        <f>SUM(S122:T128)</f>
        <v>1050.190090948</v>
      </c>
      <c r="T129" s="222"/>
      <c r="AB129" s="134">
        <v>162</v>
      </c>
      <c r="AC129" s="134">
        <v>162</v>
      </c>
      <c r="AD129" s="134">
        <v>162</v>
      </c>
      <c r="AE129" s="134">
        <v>162</v>
      </c>
      <c r="AF129" s="134">
        <v>162</v>
      </c>
      <c r="AG129" s="134">
        <v>162</v>
      </c>
      <c r="AH129" s="134">
        <v>162</v>
      </c>
      <c r="AI129" s="134">
        <v>162</v>
      </c>
    </row>
    <row r="130" spans="2:35" x14ac:dyDescent="0.25">
      <c r="B130" s="122">
        <v>129</v>
      </c>
      <c r="D130" s="2"/>
      <c r="E130" s="2"/>
      <c r="F130" s="4"/>
      <c r="G130" s="4"/>
      <c r="H130" s="4"/>
      <c r="I130" s="2"/>
      <c r="J130" s="4"/>
      <c r="K130" s="4"/>
      <c r="M130" s="2"/>
      <c r="N130" s="2"/>
      <c r="O130" s="4"/>
      <c r="P130" s="4"/>
      <c r="Q130" s="4"/>
      <c r="R130" s="2"/>
      <c r="S130" s="4"/>
      <c r="T130" s="4"/>
      <c r="AB130" s="134">
        <v>163</v>
      </c>
      <c r="AC130" s="134">
        <v>163</v>
      </c>
      <c r="AD130" s="134">
        <v>163</v>
      </c>
      <c r="AE130" s="134">
        <v>163</v>
      </c>
      <c r="AF130" s="134">
        <v>163</v>
      </c>
      <c r="AG130" s="134">
        <v>163</v>
      </c>
      <c r="AH130" s="134">
        <v>163</v>
      </c>
      <c r="AI130" s="134">
        <v>163</v>
      </c>
    </row>
    <row r="131" spans="2:35" ht="15.75" thickBot="1" x14ac:dyDescent="0.3">
      <c r="B131" s="122">
        <v>130</v>
      </c>
      <c r="D131" s="59" t="s">
        <v>90</v>
      </c>
      <c r="E131" s="24" t="s">
        <v>162</v>
      </c>
      <c r="F131" s="25"/>
      <c r="G131" s="25"/>
      <c r="H131" s="25"/>
      <c r="I131" s="24"/>
      <c r="J131" s="25"/>
      <c r="K131" s="25"/>
      <c r="M131" s="59" t="s">
        <v>90</v>
      </c>
      <c r="N131" s="24" t="s">
        <v>121</v>
      </c>
      <c r="O131" s="25"/>
      <c r="P131" s="25"/>
      <c r="Q131" s="25"/>
      <c r="R131" s="24"/>
      <c r="S131" s="25"/>
      <c r="T131" s="25"/>
      <c r="AB131" s="134">
        <v>164</v>
      </c>
      <c r="AC131" s="134">
        <v>164</v>
      </c>
      <c r="AD131" s="134">
        <v>164</v>
      </c>
      <c r="AE131" s="134">
        <v>164</v>
      </c>
      <c r="AF131" s="134">
        <v>164</v>
      </c>
      <c r="AG131" s="134">
        <v>164</v>
      </c>
      <c r="AH131" s="134">
        <v>164</v>
      </c>
      <c r="AI131" s="134">
        <v>164</v>
      </c>
    </row>
    <row r="132" spans="2:35" x14ac:dyDescent="0.25">
      <c r="B132" s="122">
        <v>131</v>
      </c>
      <c r="D132" s="2"/>
      <c r="E132" s="2"/>
      <c r="F132" s="4"/>
      <c r="G132" s="4"/>
      <c r="H132" s="4"/>
      <c r="I132" s="2"/>
      <c r="J132" s="4"/>
      <c r="K132" s="4"/>
      <c r="M132" s="2"/>
      <c r="N132" s="2"/>
      <c r="O132" s="4"/>
      <c r="P132" s="4"/>
      <c r="Q132" s="4"/>
      <c r="R132" s="2"/>
      <c r="S132" s="4"/>
      <c r="T132" s="4"/>
      <c r="AB132" s="134">
        <v>165</v>
      </c>
      <c r="AC132" s="134">
        <v>165</v>
      </c>
      <c r="AD132" s="134">
        <v>165</v>
      </c>
      <c r="AE132" s="134">
        <v>165</v>
      </c>
      <c r="AF132" s="134">
        <v>165</v>
      </c>
      <c r="AG132" s="134">
        <v>165</v>
      </c>
      <c r="AH132" s="134">
        <v>165</v>
      </c>
      <c r="AI132" s="134">
        <v>165</v>
      </c>
    </row>
    <row r="133" spans="2:35" x14ac:dyDescent="0.25">
      <c r="B133" s="122">
        <v>132</v>
      </c>
      <c r="D133" s="2"/>
      <c r="E133" s="32" t="s">
        <v>282</v>
      </c>
      <c r="F133" s="33"/>
      <c r="G133" s="33"/>
      <c r="H133" s="33"/>
      <c r="I133" s="33"/>
      <c r="J133" s="213">
        <v>5</v>
      </c>
      <c r="K133" s="214"/>
      <c r="M133" s="2"/>
      <c r="N133" s="32" t="s">
        <v>177</v>
      </c>
      <c r="O133" s="33"/>
      <c r="P133" s="33"/>
      <c r="Q133" s="33"/>
      <c r="R133" s="33"/>
      <c r="S133" s="213">
        <v>5</v>
      </c>
      <c r="T133" s="214"/>
      <c r="AB133" s="134">
        <v>166</v>
      </c>
      <c r="AC133" s="134">
        <v>166</v>
      </c>
      <c r="AD133" s="134">
        <v>166</v>
      </c>
      <c r="AE133" s="134">
        <v>166</v>
      </c>
      <c r="AF133" s="134">
        <v>166</v>
      </c>
      <c r="AG133" s="134">
        <v>166</v>
      </c>
      <c r="AH133" s="134">
        <v>166</v>
      </c>
      <c r="AI133" s="134">
        <v>166</v>
      </c>
    </row>
    <row r="134" spans="2:35" x14ac:dyDescent="0.25">
      <c r="B134" s="122">
        <v>133</v>
      </c>
      <c r="D134" s="2"/>
      <c r="E134" s="2"/>
      <c r="F134" s="4"/>
      <c r="G134" s="4"/>
      <c r="H134" s="4"/>
      <c r="I134" s="2"/>
      <c r="J134" s="4"/>
      <c r="K134" s="4"/>
      <c r="M134" s="2"/>
      <c r="N134" s="2"/>
      <c r="O134" s="4"/>
      <c r="P134" s="4"/>
      <c r="Q134" s="4"/>
      <c r="R134" s="2"/>
      <c r="S134" s="4"/>
      <c r="T134" s="4"/>
      <c r="AB134" s="134">
        <v>167</v>
      </c>
      <c r="AC134" s="134">
        <v>167</v>
      </c>
      <c r="AD134" s="134">
        <v>167</v>
      </c>
      <c r="AE134" s="134">
        <v>167</v>
      </c>
      <c r="AF134" s="134">
        <v>167</v>
      </c>
      <c r="AG134" s="134">
        <v>167</v>
      </c>
      <c r="AH134" s="134">
        <v>167</v>
      </c>
      <c r="AI134" s="134">
        <v>167</v>
      </c>
    </row>
    <row r="135" spans="2:35" x14ac:dyDescent="0.25">
      <c r="B135" s="122">
        <v>134</v>
      </c>
      <c r="D135" s="2"/>
      <c r="E135" s="13" t="s">
        <v>162</v>
      </c>
      <c r="F135" s="17" t="s">
        <v>217</v>
      </c>
      <c r="G135" s="14" t="s">
        <v>41</v>
      </c>
      <c r="H135" s="4"/>
      <c r="I135" s="2"/>
      <c r="J135" s="4"/>
      <c r="K135" s="4"/>
      <c r="M135" s="2"/>
      <c r="N135" s="13" t="s">
        <v>162</v>
      </c>
      <c r="O135" s="17" t="s">
        <v>24</v>
      </c>
      <c r="P135" s="14" t="s">
        <v>41</v>
      </c>
      <c r="Q135" s="4"/>
      <c r="R135" s="2"/>
      <c r="S135" s="4"/>
      <c r="T135" s="4"/>
      <c r="AB135" s="134">
        <v>168</v>
      </c>
      <c r="AC135" s="134">
        <v>168</v>
      </c>
      <c r="AD135" s="134">
        <v>168</v>
      </c>
      <c r="AE135" s="134">
        <v>168</v>
      </c>
      <c r="AF135" s="134">
        <v>168</v>
      </c>
      <c r="AG135" s="134">
        <v>168</v>
      </c>
      <c r="AH135" s="134">
        <v>168</v>
      </c>
      <c r="AI135" s="134">
        <v>168</v>
      </c>
    </row>
    <row r="136" spans="2:35" x14ac:dyDescent="0.25">
      <c r="B136" s="122">
        <v>135</v>
      </c>
      <c r="D136" s="2"/>
      <c r="E136" s="7" t="s">
        <v>283</v>
      </c>
      <c r="F136" s="67">
        <v>20000000</v>
      </c>
      <c r="G136" s="116">
        <f>IF(($C$107=0),0,(F136/$C$107))</f>
        <v>0</v>
      </c>
      <c r="H136" s="4"/>
      <c r="I136" s="2"/>
      <c r="J136" s="4"/>
      <c r="K136" s="4"/>
      <c r="M136" s="2"/>
      <c r="N136" s="102" t="s">
        <v>92</v>
      </c>
      <c r="O136" s="103">
        <v>999999999</v>
      </c>
      <c r="P136" s="104">
        <f>IF(($C$107=0),0,(O136/$C$107))</f>
        <v>0</v>
      </c>
      <c r="Q136" s="79"/>
      <c r="R136" s="105"/>
      <c r="S136" s="79"/>
      <c r="T136" s="79"/>
      <c r="AB136" s="134">
        <v>169</v>
      </c>
      <c r="AC136" s="134">
        <v>169</v>
      </c>
      <c r="AD136" s="134">
        <v>169</v>
      </c>
      <c r="AE136" s="134">
        <v>169</v>
      </c>
      <c r="AF136" s="134">
        <v>169</v>
      </c>
      <c r="AG136" s="134">
        <v>169</v>
      </c>
      <c r="AH136" s="134">
        <v>169</v>
      </c>
      <c r="AI136" s="134">
        <v>169</v>
      </c>
    </row>
    <row r="137" spans="2:35" x14ac:dyDescent="0.25">
      <c r="B137" s="122">
        <v>136</v>
      </c>
      <c r="D137" s="2"/>
      <c r="E137" s="7" t="s">
        <v>284</v>
      </c>
      <c r="F137" s="67">
        <v>40000000</v>
      </c>
      <c r="G137" s="116">
        <f t="shared" ref="G137:G140" si="10">IF(($C$107=0),0,(F137/$C$107))</f>
        <v>0</v>
      </c>
      <c r="H137" s="4"/>
      <c r="I137" s="2"/>
      <c r="J137" s="4"/>
      <c r="K137" s="4"/>
      <c r="M137" s="2"/>
      <c r="N137" s="102" t="s">
        <v>93</v>
      </c>
      <c r="O137" s="103">
        <v>2000000000</v>
      </c>
      <c r="P137" s="104">
        <f t="shared" ref="P137:P140" si="11">IF(($C$107=0),0,(O137/$C$107))</f>
        <v>0</v>
      </c>
      <c r="Q137" s="79"/>
      <c r="R137" s="105"/>
      <c r="S137" s="79"/>
      <c r="T137" s="79"/>
      <c r="AB137" s="134">
        <v>170</v>
      </c>
      <c r="AC137" s="134">
        <v>170</v>
      </c>
      <c r="AD137" s="134">
        <v>170</v>
      </c>
      <c r="AE137" s="134">
        <v>170</v>
      </c>
      <c r="AF137" s="134">
        <v>170</v>
      </c>
      <c r="AG137" s="134">
        <v>170</v>
      </c>
      <c r="AH137" s="134">
        <v>170</v>
      </c>
      <c r="AI137" s="134">
        <v>170</v>
      </c>
    </row>
    <row r="138" spans="2:35" x14ac:dyDescent="0.25">
      <c r="B138" s="122">
        <v>137</v>
      </c>
      <c r="D138" s="2"/>
      <c r="E138" s="7" t="s">
        <v>285</v>
      </c>
      <c r="F138" s="67">
        <v>80000000</v>
      </c>
      <c r="G138" s="116">
        <f t="shared" si="10"/>
        <v>0</v>
      </c>
      <c r="H138" s="4"/>
      <c r="I138" s="2"/>
      <c r="J138" s="4"/>
      <c r="K138" s="4"/>
      <c r="M138" s="2"/>
      <c r="N138" s="102" t="s">
        <v>94</v>
      </c>
      <c r="O138" s="103">
        <v>3000000000</v>
      </c>
      <c r="P138" s="104">
        <f t="shared" si="11"/>
        <v>0</v>
      </c>
      <c r="Q138" s="79"/>
      <c r="R138" s="105"/>
      <c r="S138" s="79"/>
      <c r="T138" s="79"/>
      <c r="AB138" s="134">
        <v>171</v>
      </c>
      <c r="AC138" s="134">
        <v>171</v>
      </c>
      <c r="AD138" s="134">
        <v>171</v>
      </c>
      <c r="AE138" s="134">
        <v>171</v>
      </c>
      <c r="AF138" s="134">
        <v>171</v>
      </c>
      <c r="AG138" s="134">
        <v>171</v>
      </c>
      <c r="AH138" s="134">
        <v>171</v>
      </c>
      <c r="AI138" s="134">
        <v>171</v>
      </c>
    </row>
    <row r="139" spans="2:35" x14ac:dyDescent="0.25">
      <c r="B139" s="122">
        <v>138</v>
      </c>
      <c r="D139" s="2"/>
      <c r="E139" s="7" t="s">
        <v>286</v>
      </c>
      <c r="F139" s="67">
        <v>20000000</v>
      </c>
      <c r="G139" s="116">
        <f t="shared" si="10"/>
        <v>0</v>
      </c>
      <c r="H139" s="4"/>
      <c r="I139" s="2"/>
      <c r="J139" s="4"/>
      <c r="K139" s="4"/>
      <c r="M139" s="2"/>
      <c r="N139" s="102" t="s">
        <v>95</v>
      </c>
      <c r="O139" s="103">
        <v>999999999</v>
      </c>
      <c r="P139" s="104">
        <f t="shared" si="11"/>
        <v>0</v>
      </c>
      <c r="Q139" s="79"/>
      <c r="R139" s="105"/>
      <c r="S139" s="79"/>
      <c r="T139" s="79"/>
      <c r="AB139" s="134">
        <v>172</v>
      </c>
      <c r="AC139" s="134">
        <v>172</v>
      </c>
      <c r="AD139" s="134">
        <v>172</v>
      </c>
      <c r="AE139" s="134">
        <v>172</v>
      </c>
      <c r="AF139" s="134">
        <v>172</v>
      </c>
      <c r="AG139" s="134">
        <v>172</v>
      </c>
      <c r="AH139" s="134">
        <v>172</v>
      </c>
      <c r="AI139" s="134">
        <v>172</v>
      </c>
    </row>
    <row r="140" spans="2:35" x14ac:dyDescent="0.25">
      <c r="B140" s="122">
        <v>139</v>
      </c>
      <c r="D140" s="2"/>
      <c r="E140" s="7" t="s">
        <v>287</v>
      </c>
      <c r="F140" s="67">
        <v>20000000</v>
      </c>
      <c r="G140" s="116">
        <f t="shared" si="10"/>
        <v>0</v>
      </c>
      <c r="H140" s="4"/>
      <c r="I140" s="2"/>
      <c r="J140" s="4"/>
      <c r="K140" s="4"/>
      <c r="M140" s="2"/>
      <c r="N140" s="102" t="s">
        <v>96</v>
      </c>
      <c r="O140" s="103">
        <v>999999999</v>
      </c>
      <c r="P140" s="104">
        <f t="shared" si="11"/>
        <v>0</v>
      </c>
      <c r="Q140" s="79"/>
      <c r="R140" s="105"/>
      <c r="S140" s="79"/>
      <c r="T140" s="79"/>
      <c r="AB140" s="134">
        <v>173</v>
      </c>
      <c r="AC140" s="134">
        <v>173</v>
      </c>
      <c r="AD140" s="134">
        <v>173</v>
      </c>
      <c r="AE140" s="134">
        <v>173</v>
      </c>
      <c r="AF140" s="134">
        <v>173</v>
      </c>
      <c r="AG140" s="134">
        <v>173</v>
      </c>
      <c r="AH140" s="134">
        <v>173</v>
      </c>
      <c r="AI140" s="134">
        <v>173</v>
      </c>
    </row>
    <row r="141" spans="2:35" x14ac:dyDescent="0.25">
      <c r="B141" s="122">
        <v>140</v>
      </c>
      <c r="D141" s="2"/>
      <c r="E141" s="12" t="s">
        <v>224</v>
      </c>
      <c r="F141" s="72">
        <f>SUM(F136:F140)</f>
        <v>180000000</v>
      </c>
      <c r="G141" s="118">
        <f>SUM(G136:G140)</f>
        <v>0</v>
      </c>
      <c r="H141" s="4"/>
      <c r="I141" s="2"/>
      <c r="J141" s="4"/>
      <c r="K141" s="4"/>
      <c r="M141" s="2"/>
      <c r="N141" s="110" t="s">
        <v>30</v>
      </c>
      <c r="O141" s="106">
        <f>SUM(O136:O140)</f>
        <v>7999999997</v>
      </c>
      <c r="P141" s="107">
        <f>SUM(P136:P140)</f>
        <v>0</v>
      </c>
      <c r="Q141" s="79"/>
      <c r="R141" s="105"/>
      <c r="S141" s="79"/>
      <c r="T141" s="79"/>
      <c r="AB141" s="134">
        <v>174</v>
      </c>
      <c r="AC141" s="134">
        <v>174</v>
      </c>
      <c r="AD141" s="134">
        <v>174</v>
      </c>
      <c r="AE141" s="134">
        <v>174</v>
      </c>
      <c r="AF141" s="134">
        <v>174</v>
      </c>
      <c r="AG141" s="134">
        <v>174</v>
      </c>
      <c r="AH141" s="134">
        <v>174</v>
      </c>
      <c r="AI141" s="134">
        <v>174</v>
      </c>
    </row>
    <row r="142" spans="2:35" x14ac:dyDescent="0.25">
      <c r="B142" s="122">
        <v>141</v>
      </c>
      <c r="D142" s="2"/>
      <c r="E142" s="2"/>
      <c r="F142" s="4"/>
      <c r="G142" s="4"/>
      <c r="H142" s="4"/>
      <c r="I142" s="2"/>
      <c r="J142" s="4"/>
      <c r="K142" s="4"/>
      <c r="M142" s="2"/>
      <c r="N142" s="105"/>
      <c r="O142" s="79"/>
      <c r="P142" s="79"/>
      <c r="Q142" s="79"/>
      <c r="R142" s="105"/>
      <c r="S142" s="79"/>
      <c r="T142" s="79"/>
      <c r="AB142" s="134">
        <v>175</v>
      </c>
      <c r="AC142" s="134">
        <v>175</v>
      </c>
      <c r="AD142" s="134">
        <v>175</v>
      </c>
      <c r="AE142" s="134">
        <v>175</v>
      </c>
      <c r="AF142" s="134">
        <v>175</v>
      </c>
      <c r="AG142" s="134">
        <v>175</v>
      </c>
      <c r="AH142" s="134">
        <v>175</v>
      </c>
      <c r="AI142" s="134">
        <v>175</v>
      </c>
    </row>
    <row r="143" spans="2:35" ht="15.75" thickBot="1" x14ac:dyDescent="0.3">
      <c r="B143" s="122">
        <v>142</v>
      </c>
      <c r="D143" s="59" t="s">
        <v>91</v>
      </c>
      <c r="E143" s="24" t="s">
        <v>288</v>
      </c>
      <c r="F143" s="25"/>
      <c r="G143" s="25"/>
      <c r="H143" s="25"/>
      <c r="I143" s="24"/>
      <c r="J143" s="25"/>
      <c r="K143" s="25"/>
      <c r="M143" s="59" t="s">
        <v>91</v>
      </c>
      <c r="N143" s="108" t="s">
        <v>98</v>
      </c>
      <c r="O143" s="109"/>
      <c r="P143" s="109"/>
      <c r="Q143" s="109"/>
      <c r="R143" s="108"/>
      <c r="S143" s="109"/>
      <c r="T143" s="109"/>
      <c r="AB143" s="134">
        <v>176</v>
      </c>
      <c r="AC143" s="134">
        <v>176</v>
      </c>
      <c r="AD143" s="134">
        <v>176</v>
      </c>
      <c r="AE143" s="134">
        <v>176</v>
      </c>
      <c r="AF143" s="134">
        <v>176</v>
      </c>
      <c r="AG143" s="134">
        <v>176</v>
      </c>
      <c r="AH143" s="134">
        <v>176</v>
      </c>
      <c r="AI143" s="134">
        <v>176</v>
      </c>
    </row>
    <row r="144" spans="2:35" x14ac:dyDescent="0.25">
      <c r="B144" s="122">
        <v>143</v>
      </c>
      <c r="D144" s="2"/>
      <c r="E144" s="2"/>
      <c r="F144" s="4"/>
      <c r="G144" s="4"/>
      <c r="H144" s="4"/>
      <c r="I144" s="2"/>
      <c r="J144" s="4"/>
      <c r="K144" s="4"/>
      <c r="M144" s="2"/>
      <c r="N144" s="105"/>
      <c r="O144" s="79"/>
      <c r="P144" s="79"/>
      <c r="Q144" s="79"/>
      <c r="R144" s="105"/>
      <c r="S144" s="79"/>
      <c r="T144" s="79"/>
      <c r="AB144" s="134">
        <v>177</v>
      </c>
      <c r="AC144" s="134">
        <v>177</v>
      </c>
      <c r="AD144" s="134">
        <v>177</v>
      </c>
      <c r="AE144" s="134">
        <v>177</v>
      </c>
      <c r="AF144" s="134">
        <v>177</v>
      </c>
      <c r="AG144" s="134">
        <v>177</v>
      </c>
      <c r="AH144" s="134">
        <v>177</v>
      </c>
      <c r="AI144" s="134">
        <v>177</v>
      </c>
    </row>
    <row r="145" spans="2:35" x14ac:dyDescent="0.25">
      <c r="B145" s="122">
        <v>144</v>
      </c>
      <c r="D145" s="2"/>
      <c r="E145" s="12" t="s">
        <v>288</v>
      </c>
      <c r="F145" s="119"/>
      <c r="G145" s="31"/>
      <c r="H145" s="119"/>
      <c r="I145" s="31"/>
      <c r="J145" s="119"/>
      <c r="K145" s="120" t="s">
        <v>289</v>
      </c>
      <c r="M145" s="2"/>
      <c r="N145" s="110" t="s">
        <v>99</v>
      </c>
      <c r="O145" s="111"/>
      <c r="P145" s="112"/>
      <c r="Q145" s="111"/>
      <c r="R145" s="112"/>
      <c r="S145" s="111"/>
      <c r="T145" s="113" t="s">
        <v>302</v>
      </c>
      <c r="AB145" s="134">
        <v>178</v>
      </c>
      <c r="AC145" s="134">
        <v>178</v>
      </c>
      <c r="AD145" s="134">
        <v>178</v>
      </c>
      <c r="AE145" s="134">
        <v>178</v>
      </c>
      <c r="AF145" s="134">
        <v>178</v>
      </c>
      <c r="AG145" s="134">
        <v>178</v>
      </c>
      <c r="AH145" s="134">
        <v>178</v>
      </c>
      <c r="AI145" s="134">
        <v>178</v>
      </c>
    </row>
    <row r="146" spans="2:35" x14ac:dyDescent="0.25">
      <c r="B146" s="122">
        <v>145</v>
      </c>
      <c r="D146" s="2"/>
      <c r="E146" s="227" t="s">
        <v>290</v>
      </c>
      <c r="F146" s="224"/>
      <c r="G146" s="224"/>
      <c r="H146" s="224"/>
      <c r="I146" s="224"/>
      <c r="J146" s="224"/>
      <c r="K146" s="133">
        <v>5</v>
      </c>
      <c r="M146" s="2"/>
      <c r="N146" s="207" t="s">
        <v>172</v>
      </c>
      <c r="O146" s="206"/>
      <c r="P146" s="206"/>
      <c r="Q146" s="206"/>
      <c r="R146" s="206"/>
      <c r="S146" s="206"/>
      <c r="T146" s="114">
        <v>5.5</v>
      </c>
      <c r="AB146" s="134">
        <v>179</v>
      </c>
      <c r="AC146" s="134">
        <v>179</v>
      </c>
      <c r="AD146" s="134">
        <v>179</v>
      </c>
      <c r="AE146" s="134">
        <v>179</v>
      </c>
      <c r="AF146" s="134">
        <v>179</v>
      </c>
      <c r="AG146" s="134">
        <v>179</v>
      </c>
      <c r="AH146" s="134">
        <v>179</v>
      </c>
      <c r="AI146" s="134">
        <v>179</v>
      </c>
    </row>
    <row r="147" spans="2:35" x14ac:dyDescent="0.25">
      <c r="B147" s="122">
        <v>146</v>
      </c>
      <c r="D147" s="2"/>
      <c r="E147" s="227" t="s">
        <v>291</v>
      </c>
      <c r="F147" s="224"/>
      <c r="G147" s="224"/>
      <c r="H147" s="224"/>
      <c r="I147" s="224"/>
      <c r="J147" s="224"/>
      <c r="K147" s="133">
        <v>5</v>
      </c>
      <c r="M147" s="2"/>
      <c r="N147" s="205" t="s">
        <v>173</v>
      </c>
      <c r="O147" s="206"/>
      <c r="P147" s="206"/>
      <c r="Q147" s="206"/>
      <c r="R147" s="206"/>
      <c r="S147" s="206"/>
      <c r="T147" s="114">
        <v>12</v>
      </c>
      <c r="AB147" s="134">
        <v>180</v>
      </c>
      <c r="AC147" s="134">
        <v>180</v>
      </c>
      <c r="AD147" s="134">
        <v>180</v>
      </c>
      <c r="AE147" s="134">
        <v>180</v>
      </c>
      <c r="AF147" s="134">
        <v>180</v>
      </c>
      <c r="AG147" s="134">
        <v>180</v>
      </c>
      <c r="AH147" s="134">
        <v>180</v>
      </c>
      <c r="AI147" s="134">
        <v>180</v>
      </c>
    </row>
    <row r="148" spans="2:35" x14ac:dyDescent="0.25">
      <c r="B148" s="122">
        <v>147</v>
      </c>
      <c r="D148" s="2"/>
      <c r="E148" s="227" t="s">
        <v>292</v>
      </c>
      <c r="F148" s="224"/>
      <c r="G148" s="224"/>
      <c r="H148" s="224"/>
      <c r="I148" s="224"/>
      <c r="J148" s="224"/>
      <c r="K148" s="133">
        <v>5</v>
      </c>
      <c r="M148" s="2"/>
      <c r="N148" s="207" t="s">
        <v>146</v>
      </c>
      <c r="O148" s="208"/>
      <c r="P148" s="208"/>
      <c r="Q148" s="208"/>
      <c r="R148" s="208"/>
      <c r="S148" s="208"/>
      <c r="T148" s="114">
        <v>14</v>
      </c>
      <c r="AB148" s="134">
        <v>181</v>
      </c>
      <c r="AC148" s="134">
        <v>181</v>
      </c>
      <c r="AD148" s="134">
        <v>181</v>
      </c>
      <c r="AE148" s="134">
        <v>181</v>
      </c>
      <c r="AF148" s="134">
        <v>181</v>
      </c>
      <c r="AG148" s="134">
        <v>181</v>
      </c>
      <c r="AH148" s="134">
        <v>181</v>
      </c>
      <c r="AI148" s="134">
        <v>181</v>
      </c>
    </row>
    <row r="149" spans="2:35" x14ac:dyDescent="0.25">
      <c r="B149" s="122">
        <v>148</v>
      </c>
      <c r="D149" s="2"/>
      <c r="E149" s="2"/>
      <c r="F149" s="4"/>
      <c r="G149" s="4"/>
      <c r="H149" s="4"/>
      <c r="I149" s="2"/>
      <c r="J149" s="4"/>
      <c r="K149" s="4"/>
      <c r="M149" s="2"/>
      <c r="N149" s="2"/>
      <c r="O149" s="4"/>
      <c r="P149" s="4"/>
      <c r="Q149" s="4"/>
      <c r="R149" s="2"/>
      <c r="S149" s="4"/>
      <c r="T149" s="4"/>
      <c r="AB149" s="134">
        <v>182</v>
      </c>
      <c r="AC149" s="134">
        <v>182</v>
      </c>
      <c r="AD149" s="134">
        <v>182</v>
      </c>
      <c r="AE149" s="134">
        <v>182</v>
      </c>
      <c r="AF149" s="134">
        <v>182</v>
      </c>
      <c r="AG149" s="134">
        <v>182</v>
      </c>
      <c r="AH149" s="134">
        <v>182</v>
      </c>
      <c r="AI149" s="134">
        <v>182</v>
      </c>
    </row>
    <row r="150" spans="2:35" x14ac:dyDescent="0.25">
      <c r="B150" s="122">
        <v>149</v>
      </c>
      <c r="D150" s="2"/>
      <c r="E150" s="2" t="s">
        <v>293</v>
      </c>
      <c r="F150" s="4"/>
      <c r="G150" s="4"/>
      <c r="H150" s="4"/>
      <c r="I150" s="2"/>
      <c r="J150" s="4"/>
      <c r="K150" s="4"/>
      <c r="M150" s="2"/>
      <c r="N150" s="2" t="s">
        <v>147</v>
      </c>
      <c r="O150" s="4"/>
      <c r="P150" s="4"/>
      <c r="Q150" s="4"/>
      <c r="R150" s="2"/>
      <c r="S150" s="4"/>
      <c r="T150" s="4"/>
      <c r="AB150" s="137"/>
      <c r="AC150" s="137"/>
      <c r="AD150" s="137"/>
      <c r="AE150" s="137"/>
      <c r="AF150" s="137"/>
      <c r="AG150" s="137"/>
      <c r="AH150" s="137"/>
      <c r="AI150" s="134"/>
    </row>
    <row r="151" spans="2:35" x14ac:dyDescent="0.25">
      <c r="B151" s="122">
        <v>150</v>
      </c>
      <c r="D151" s="2"/>
      <c r="E151" s="13" t="s">
        <v>230</v>
      </c>
      <c r="F151" s="17" t="s">
        <v>217</v>
      </c>
      <c r="G151" s="14" t="s">
        <v>41</v>
      </c>
      <c r="H151" s="4"/>
      <c r="I151" s="13" t="s">
        <v>231</v>
      </c>
      <c r="J151" s="17" t="s">
        <v>217</v>
      </c>
      <c r="K151" s="14" t="s">
        <v>41</v>
      </c>
      <c r="M151" s="2"/>
      <c r="N151" s="13" t="s">
        <v>34</v>
      </c>
      <c r="O151" s="17" t="s">
        <v>24</v>
      </c>
      <c r="P151" s="14" t="s">
        <v>41</v>
      </c>
      <c r="Q151" s="4"/>
      <c r="R151" s="13" t="s">
        <v>39</v>
      </c>
      <c r="S151" s="17" t="s">
        <v>24</v>
      </c>
      <c r="T151" s="14" t="s">
        <v>41</v>
      </c>
      <c r="AB151" s="137"/>
      <c r="AC151" s="137"/>
      <c r="AD151" s="137"/>
      <c r="AE151" s="137"/>
      <c r="AF151" s="137"/>
      <c r="AG151" s="137"/>
      <c r="AH151" s="137"/>
      <c r="AI151" s="134"/>
    </row>
    <row r="152" spans="2:35" x14ac:dyDescent="0.25">
      <c r="B152" s="122">
        <v>151</v>
      </c>
      <c r="D152" s="2"/>
      <c r="E152" s="7" t="s">
        <v>283</v>
      </c>
      <c r="F152" s="67">
        <v>20000000</v>
      </c>
      <c r="G152" s="116">
        <f>IF(($C$123=0),0,(F152/$C$123))</f>
        <v>0</v>
      </c>
      <c r="H152" s="4"/>
      <c r="I152" s="7" t="s">
        <v>283</v>
      </c>
      <c r="J152" s="67">
        <v>20000000</v>
      </c>
      <c r="K152" s="116">
        <f>IF(($G$123=0),0,(J152/$G$123))</f>
        <v>0</v>
      </c>
      <c r="M152" s="2"/>
      <c r="N152" s="7" t="s">
        <v>92</v>
      </c>
      <c r="O152" s="67">
        <v>999999999</v>
      </c>
      <c r="P152" s="124">
        <f>IF(($C$123=0),0,(O152/$C$123))</f>
        <v>0</v>
      </c>
      <c r="Q152" s="4"/>
      <c r="R152" s="7" t="s">
        <v>92</v>
      </c>
      <c r="S152" s="67">
        <v>999999999</v>
      </c>
      <c r="T152" s="124">
        <f>IF(($G$123=0),0,(S152/$G$123))</f>
        <v>0</v>
      </c>
      <c r="AB152" s="137"/>
      <c r="AC152" s="137"/>
      <c r="AD152" s="137"/>
      <c r="AE152" s="137"/>
      <c r="AF152" s="137"/>
      <c r="AG152" s="137"/>
      <c r="AH152" s="137"/>
      <c r="AI152" s="134"/>
    </row>
    <row r="153" spans="2:35" x14ac:dyDescent="0.25">
      <c r="B153" s="122">
        <v>152</v>
      </c>
      <c r="D153" s="2"/>
      <c r="E153" s="7" t="s">
        <v>284</v>
      </c>
      <c r="F153" s="67">
        <v>80000000</v>
      </c>
      <c r="G153" s="116">
        <f t="shared" ref="G153:G156" si="12">IF(($C$123=0),0,(F153/$C$123))</f>
        <v>0</v>
      </c>
      <c r="H153" s="4"/>
      <c r="I153" s="7" t="s">
        <v>284</v>
      </c>
      <c r="J153" s="67">
        <v>80000000</v>
      </c>
      <c r="K153" s="116">
        <f t="shared" ref="K153:K156" si="13">IF(($G$123=0),0,(J153/$G$123))</f>
        <v>0</v>
      </c>
      <c r="M153" s="2"/>
      <c r="N153" s="7" t="s">
        <v>93</v>
      </c>
      <c r="O153" s="67">
        <v>2000000000</v>
      </c>
      <c r="P153" s="124">
        <f>IF(($C$123=0),0,(O153/$C$123))</f>
        <v>0</v>
      </c>
      <c r="Q153" s="4"/>
      <c r="R153" s="7" t="s">
        <v>93</v>
      </c>
      <c r="S153" s="67">
        <v>1000000000</v>
      </c>
      <c r="T153" s="124">
        <f t="shared" ref="T153:T156" si="14">IF(($G$123=0),0,(S153/$G$123))</f>
        <v>0</v>
      </c>
      <c r="AB153" s="137"/>
      <c r="AC153" s="137"/>
      <c r="AD153" s="137"/>
      <c r="AE153" s="137"/>
      <c r="AF153" s="137"/>
      <c r="AG153" s="137"/>
      <c r="AH153" s="137"/>
      <c r="AI153" s="134"/>
    </row>
    <row r="154" spans="2:35" x14ac:dyDescent="0.25">
      <c r="B154" s="122">
        <v>153</v>
      </c>
      <c r="D154" s="2"/>
      <c r="E154" s="7" t="s">
        <v>285</v>
      </c>
      <c r="F154" s="67">
        <v>20000000</v>
      </c>
      <c r="G154" s="116">
        <f t="shared" si="12"/>
        <v>0</v>
      </c>
      <c r="H154" s="4"/>
      <c r="I154" s="7" t="s">
        <v>285</v>
      </c>
      <c r="J154" s="67">
        <v>20000000</v>
      </c>
      <c r="K154" s="116">
        <f t="shared" si="13"/>
        <v>0</v>
      </c>
      <c r="M154" s="2"/>
      <c r="N154" s="7" t="s">
        <v>94</v>
      </c>
      <c r="O154" s="67">
        <v>3000000000</v>
      </c>
      <c r="P154" s="124">
        <f t="shared" ref="P154:P156" si="15">IF(($C$123=0),0,(O154/$C$123))</f>
        <v>0</v>
      </c>
      <c r="Q154" s="4"/>
      <c r="R154" s="7" t="s">
        <v>94</v>
      </c>
      <c r="S154" s="67">
        <v>5000000000</v>
      </c>
      <c r="T154" s="124">
        <f>IF(($G$123=0),0,(S154/$G$123))</f>
        <v>0</v>
      </c>
    </row>
    <row r="155" spans="2:35" x14ac:dyDescent="0.25">
      <c r="B155" s="122">
        <v>154</v>
      </c>
      <c r="D155" s="2"/>
      <c r="E155" s="7" t="s">
        <v>286</v>
      </c>
      <c r="F155" s="67">
        <v>20000000</v>
      </c>
      <c r="G155" s="116">
        <f t="shared" si="12"/>
        <v>0</v>
      </c>
      <c r="H155" s="4"/>
      <c r="I155" s="7" t="s">
        <v>286</v>
      </c>
      <c r="J155" s="67">
        <v>20000000</v>
      </c>
      <c r="K155" s="116">
        <f t="shared" si="13"/>
        <v>0</v>
      </c>
      <c r="M155" s="2"/>
      <c r="N155" s="7" t="s">
        <v>95</v>
      </c>
      <c r="O155" s="67">
        <v>999999999</v>
      </c>
      <c r="P155" s="124">
        <f t="shared" si="15"/>
        <v>0</v>
      </c>
      <c r="Q155" s="4"/>
      <c r="R155" s="7" t="s">
        <v>95</v>
      </c>
      <c r="S155" s="67">
        <v>999999999</v>
      </c>
      <c r="T155" s="124">
        <f t="shared" si="14"/>
        <v>0</v>
      </c>
    </row>
    <row r="156" spans="2:35" x14ac:dyDescent="0.25">
      <c r="B156" s="122">
        <v>155</v>
      </c>
      <c r="D156" s="2"/>
      <c r="E156" s="7" t="s">
        <v>287</v>
      </c>
      <c r="F156" s="67">
        <v>20000000</v>
      </c>
      <c r="G156" s="116">
        <f t="shared" si="12"/>
        <v>0</v>
      </c>
      <c r="H156" s="4"/>
      <c r="I156" s="7" t="s">
        <v>287</v>
      </c>
      <c r="J156" s="67">
        <v>20000000</v>
      </c>
      <c r="K156" s="116">
        <f t="shared" si="13"/>
        <v>0</v>
      </c>
      <c r="M156" s="2"/>
      <c r="N156" s="7" t="s">
        <v>96</v>
      </c>
      <c r="O156" s="67">
        <v>999999999</v>
      </c>
      <c r="P156" s="124">
        <f t="shared" si="15"/>
        <v>0</v>
      </c>
      <c r="Q156" s="4"/>
      <c r="R156" s="7" t="s">
        <v>96</v>
      </c>
      <c r="S156" s="67">
        <v>999999999</v>
      </c>
      <c r="T156" s="124">
        <f t="shared" si="14"/>
        <v>0</v>
      </c>
    </row>
    <row r="157" spans="2:35" x14ac:dyDescent="0.25">
      <c r="B157" s="122">
        <v>156</v>
      </c>
      <c r="D157" s="2"/>
      <c r="E157" s="12" t="s">
        <v>224</v>
      </c>
      <c r="F157" s="72">
        <f>SUM(F152:F156)</f>
        <v>160000000</v>
      </c>
      <c r="G157" s="118">
        <f>SUM(G152:G156)</f>
        <v>0</v>
      </c>
      <c r="H157" s="4"/>
      <c r="I157" s="12" t="s">
        <v>224</v>
      </c>
      <c r="J157" s="72">
        <f>SUM(J152:J156)</f>
        <v>160000000</v>
      </c>
      <c r="K157" s="118">
        <f>SUM(K152:K156)</f>
        <v>0</v>
      </c>
      <c r="M157" s="2"/>
      <c r="N157" s="12" t="s">
        <v>30</v>
      </c>
      <c r="O157" s="72">
        <f>SUM(O152:O156)</f>
        <v>7999999997</v>
      </c>
      <c r="P157" s="126">
        <f>SUM(P152:P156)</f>
        <v>0</v>
      </c>
      <c r="Q157" s="4"/>
      <c r="R157" s="12" t="s">
        <v>30</v>
      </c>
      <c r="S157" s="72">
        <f>SUM(S152:S156)</f>
        <v>8999999997</v>
      </c>
      <c r="T157" s="126">
        <f>SUM(T152:T156)</f>
        <v>0</v>
      </c>
    </row>
    <row r="158" spans="2:35" x14ac:dyDescent="0.25">
      <c r="B158" s="122">
        <v>157</v>
      </c>
      <c r="D158" s="2"/>
      <c r="E158" s="2"/>
      <c r="F158" s="2"/>
      <c r="G158" s="2"/>
      <c r="H158" s="2"/>
      <c r="I158" s="2"/>
      <c r="J158" s="2"/>
      <c r="K158" s="2"/>
      <c r="M158" s="2"/>
      <c r="N158" s="2"/>
      <c r="O158" s="2"/>
      <c r="P158" s="2"/>
      <c r="Q158" s="2"/>
      <c r="R158" s="2"/>
      <c r="S158" s="2"/>
      <c r="T158" s="2"/>
    </row>
    <row r="159" spans="2:35" x14ac:dyDescent="0.25">
      <c r="B159" s="122">
        <v>158</v>
      </c>
      <c r="D159" s="2"/>
      <c r="E159" s="2"/>
      <c r="F159" s="2"/>
      <c r="G159" s="2"/>
      <c r="H159" s="2"/>
      <c r="I159" s="2"/>
      <c r="J159" s="2"/>
      <c r="K159" s="2"/>
      <c r="M159" s="2"/>
      <c r="N159" s="2"/>
      <c r="O159" s="2"/>
      <c r="P159" s="2"/>
      <c r="Q159" s="2"/>
      <c r="R159" s="2"/>
      <c r="S159" s="2"/>
      <c r="T159" s="2"/>
    </row>
    <row r="160" spans="2:35" x14ac:dyDescent="0.25">
      <c r="B160" s="122">
        <v>159</v>
      </c>
      <c r="D160" s="2"/>
      <c r="E160" s="2"/>
      <c r="F160" s="2"/>
      <c r="G160" s="2"/>
      <c r="H160" s="2"/>
      <c r="I160" s="2"/>
      <c r="J160" s="2"/>
      <c r="K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25">
      <c r="B161" s="122">
        <v>160</v>
      </c>
      <c r="D161" s="2"/>
      <c r="E161" s="2"/>
      <c r="F161" s="2"/>
      <c r="G161" s="2"/>
      <c r="H161" s="2"/>
      <c r="I161" s="2"/>
      <c r="J161" s="2"/>
      <c r="K161" s="2"/>
      <c r="M161" s="2"/>
      <c r="N161" s="2"/>
      <c r="O161" s="2"/>
      <c r="P161" s="2"/>
      <c r="Q161" s="2"/>
      <c r="R161" s="2"/>
      <c r="S161" s="2"/>
      <c r="T161" s="2"/>
    </row>
    <row r="162" spans="2:20" x14ac:dyDescent="0.25">
      <c r="B162" s="122">
        <v>161</v>
      </c>
      <c r="D162" s="2"/>
      <c r="E162" s="2"/>
      <c r="F162" s="2"/>
      <c r="G162" s="2"/>
      <c r="H162" s="2"/>
      <c r="I162" s="2"/>
      <c r="J162" s="2"/>
      <c r="K162" s="2"/>
      <c r="M162" s="2"/>
      <c r="N162" s="2"/>
      <c r="O162" s="2"/>
      <c r="P162" s="2"/>
      <c r="Q162" s="2"/>
      <c r="R162" s="2"/>
      <c r="S162" s="2"/>
      <c r="T162" s="2"/>
    </row>
    <row r="163" spans="2:20" x14ac:dyDescent="0.25">
      <c r="B163" s="122">
        <v>162</v>
      </c>
      <c r="D163" s="2"/>
      <c r="E163" s="2"/>
      <c r="F163" s="2"/>
      <c r="G163" s="2"/>
      <c r="H163" s="2"/>
      <c r="I163" s="2"/>
      <c r="J163" s="2"/>
      <c r="K163" s="2"/>
      <c r="M163" s="2"/>
      <c r="N163" s="2"/>
      <c r="O163" s="2"/>
      <c r="P163" s="2"/>
      <c r="Q163" s="2"/>
      <c r="R163" s="2"/>
      <c r="S163" s="2"/>
      <c r="T163" s="2"/>
    </row>
    <row r="164" spans="2:20" x14ac:dyDescent="0.25">
      <c r="B164" s="122">
        <v>163</v>
      </c>
      <c r="D164" s="2"/>
      <c r="E164" s="2"/>
      <c r="F164" s="2"/>
      <c r="G164" s="2"/>
      <c r="H164" s="2"/>
      <c r="I164" s="2"/>
      <c r="J164" s="2"/>
      <c r="K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25">
      <c r="B165" s="122">
        <v>164</v>
      </c>
      <c r="D165" s="2"/>
      <c r="E165" s="2"/>
      <c r="F165" s="2"/>
      <c r="G165" s="2"/>
      <c r="H165" s="2"/>
      <c r="I165" s="2"/>
      <c r="J165" s="2"/>
      <c r="K165" s="2"/>
      <c r="M165" s="2"/>
      <c r="N165" s="2"/>
      <c r="O165" s="2"/>
      <c r="P165" s="2"/>
      <c r="Q165" s="2"/>
      <c r="R165" s="2"/>
      <c r="S165" s="2"/>
      <c r="T165" s="2"/>
    </row>
    <row r="166" spans="2:20" x14ac:dyDescent="0.25">
      <c r="B166" s="122">
        <v>165</v>
      </c>
      <c r="D166" s="2"/>
      <c r="E166" s="2"/>
      <c r="F166" s="2"/>
      <c r="G166" s="2"/>
      <c r="H166" s="2"/>
      <c r="I166" s="2"/>
      <c r="J166" s="2"/>
      <c r="K166" s="2"/>
      <c r="M166" s="2"/>
      <c r="N166" s="2"/>
      <c r="O166" s="2"/>
      <c r="P166" s="2"/>
      <c r="Q166" s="2"/>
      <c r="R166" s="2"/>
      <c r="S166" s="2"/>
      <c r="T166" s="2"/>
    </row>
    <row r="167" spans="2:20" x14ac:dyDescent="0.25">
      <c r="B167" s="122">
        <v>166</v>
      </c>
      <c r="D167" s="2"/>
      <c r="E167" s="2"/>
      <c r="F167" s="2"/>
      <c r="G167" s="2"/>
      <c r="H167" s="2"/>
      <c r="I167" s="2"/>
      <c r="J167" s="2"/>
      <c r="K167" s="2"/>
      <c r="M167" s="2"/>
      <c r="N167" s="2"/>
      <c r="O167" s="2"/>
      <c r="P167" s="2"/>
      <c r="Q167" s="2"/>
      <c r="R167" s="2"/>
      <c r="S167" s="2"/>
      <c r="T167" s="2"/>
    </row>
    <row r="168" spans="2:20" x14ac:dyDescent="0.25">
      <c r="B168" s="122">
        <v>167</v>
      </c>
      <c r="D168" s="2"/>
      <c r="E168" s="2"/>
      <c r="F168" s="2"/>
      <c r="G168" s="2"/>
      <c r="H168" s="2"/>
      <c r="I168" s="2"/>
      <c r="J168" s="2"/>
      <c r="K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25">
      <c r="B169" s="122">
        <v>168</v>
      </c>
      <c r="D169" s="2"/>
      <c r="E169" s="2"/>
      <c r="F169" s="2"/>
      <c r="G169" s="2"/>
      <c r="H169" s="2"/>
      <c r="I169" s="2"/>
      <c r="J169" s="2"/>
      <c r="K169" s="2"/>
      <c r="M169" s="2"/>
      <c r="N169" s="2"/>
      <c r="O169" s="2"/>
      <c r="P169" s="2"/>
      <c r="Q169" s="2"/>
      <c r="R169" s="2"/>
      <c r="S169" s="2"/>
      <c r="T169" s="2"/>
    </row>
    <row r="170" spans="2:20" x14ac:dyDescent="0.25">
      <c r="B170" s="122">
        <v>169</v>
      </c>
      <c r="D170" s="2"/>
      <c r="E170" s="2"/>
      <c r="F170" s="2"/>
      <c r="G170" s="2"/>
      <c r="H170" s="2"/>
      <c r="I170" s="2"/>
      <c r="J170" s="2"/>
      <c r="K170" s="2"/>
      <c r="M170" s="2"/>
      <c r="N170" s="2"/>
      <c r="O170" s="2"/>
      <c r="P170" s="2"/>
      <c r="Q170" s="2"/>
      <c r="R170" s="2"/>
      <c r="S170" s="2"/>
      <c r="T170" s="2"/>
    </row>
    <row r="171" spans="2:20" x14ac:dyDescent="0.25">
      <c r="B171" s="122">
        <v>170</v>
      </c>
      <c r="D171" s="2"/>
      <c r="E171" s="2"/>
      <c r="F171" s="4"/>
      <c r="G171" s="4"/>
      <c r="H171" s="4"/>
      <c r="I171" s="2"/>
      <c r="J171" s="4"/>
      <c r="K171" s="4"/>
      <c r="M171" s="2"/>
      <c r="N171" s="2"/>
      <c r="O171" s="4"/>
      <c r="P171" s="4"/>
      <c r="Q171" s="4"/>
      <c r="R171" s="2"/>
      <c r="S171" s="4"/>
      <c r="T171" s="4"/>
    </row>
    <row r="172" spans="2:20" x14ac:dyDescent="0.25">
      <c r="B172" s="122">
        <v>171</v>
      </c>
      <c r="D172" s="2"/>
      <c r="E172" s="2"/>
      <c r="F172" s="4"/>
      <c r="G172" s="4"/>
      <c r="H172" s="4"/>
      <c r="I172" s="2"/>
      <c r="J172" s="4"/>
      <c r="K172" s="4"/>
    </row>
    <row r="173" spans="2:20" ht="15.75" thickBot="1" x14ac:dyDescent="0.3">
      <c r="B173" s="122">
        <v>172</v>
      </c>
      <c r="D173" s="59" t="s">
        <v>97</v>
      </c>
      <c r="E173" s="24" t="s">
        <v>294</v>
      </c>
      <c r="F173" s="25"/>
      <c r="G173" s="25"/>
      <c r="H173" s="25"/>
      <c r="I173" s="24"/>
      <c r="J173" s="25"/>
      <c r="K173" s="25"/>
      <c r="M173" s="59" t="s">
        <v>97</v>
      </c>
      <c r="N173" s="24" t="s">
        <v>100</v>
      </c>
      <c r="O173" s="25"/>
      <c r="P173" s="25"/>
      <c r="Q173" s="25"/>
      <c r="R173" s="24"/>
      <c r="S173" s="25"/>
      <c r="T173" s="25"/>
    </row>
    <row r="174" spans="2:20" x14ac:dyDescent="0.25">
      <c r="B174" s="122">
        <v>173</v>
      </c>
      <c r="D174" s="2"/>
      <c r="E174" s="2"/>
      <c r="F174" s="4"/>
      <c r="G174" s="4"/>
      <c r="H174" s="4"/>
      <c r="I174" s="2"/>
      <c r="J174" s="4"/>
      <c r="K174" s="4"/>
      <c r="M174" s="2"/>
      <c r="N174" s="2"/>
      <c r="O174" s="4"/>
      <c r="P174" s="4"/>
      <c r="Q174" s="4"/>
      <c r="R174" s="2"/>
      <c r="S174" s="4"/>
      <c r="T174" s="4"/>
    </row>
    <row r="175" spans="2:20" x14ac:dyDescent="0.25">
      <c r="B175" s="122">
        <v>174</v>
      </c>
      <c r="D175" s="2"/>
      <c r="E175" s="12" t="s">
        <v>295</v>
      </c>
      <c r="F175" s="17"/>
      <c r="G175" s="120"/>
      <c r="H175" s="4"/>
      <c r="I175" s="2"/>
      <c r="J175" s="4"/>
      <c r="K175" s="4"/>
      <c r="M175" s="2"/>
      <c r="N175" s="12" t="s">
        <v>101</v>
      </c>
      <c r="O175" s="17"/>
      <c r="P175" s="128"/>
      <c r="Q175" s="4"/>
      <c r="R175" s="2"/>
      <c r="S175" s="4"/>
      <c r="T175" s="4"/>
    </row>
    <row r="176" spans="2:20" x14ac:dyDescent="0.25">
      <c r="B176" s="122">
        <v>175</v>
      </c>
      <c r="D176" s="2"/>
      <c r="E176" s="7" t="s">
        <v>296</v>
      </c>
      <c r="F176" s="8"/>
      <c r="G176" s="9" t="s">
        <v>228</v>
      </c>
      <c r="H176" s="4"/>
      <c r="I176" s="2"/>
      <c r="J176" s="4"/>
      <c r="K176" s="4"/>
      <c r="M176" s="2"/>
      <c r="N176" s="7" t="s">
        <v>148</v>
      </c>
      <c r="O176" s="8"/>
      <c r="P176" s="9" t="s">
        <v>136</v>
      </c>
      <c r="Q176" s="4"/>
      <c r="R176" s="2"/>
      <c r="S176" s="4"/>
      <c r="T176" s="4"/>
    </row>
    <row r="177" spans="2:24" x14ac:dyDescent="0.25">
      <c r="B177" s="122">
        <v>176</v>
      </c>
      <c r="D177" s="2"/>
      <c r="E177" s="2"/>
      <c r="F177" s="4"/>
      <c r="G177" s="4"/>
      <c r="H177" s="4"/>
      <c r="I177" s="2"/>
      <c r="J177" s="4"/>
      <c r="K177" s="4"/>
      <c r="M177" s="2"/>
      <c r="N177" s="2"/>
      <c r="O177" s="4"/>
      <c r="P177" s="4"/>
      <c r="Q177" s="4"/>
      <c r="R177" s="2"/>
      <c r="S177" s="4"/>
      <c r="T177" s="4"/>
    </row>
    <row r="178" spans="2:24" x14ac:dyDescent="0.25">
      <c r="B178" s="122">
        <v>177</v>
      </c>
      <c r="D178" s="2"/>
      <c r="E178" s="12" t="s">
        <v>230</v>
      </c>
      <c r="F178" s="17"/>
      <c r="G178" s="120" t="s">
        <v>217</v>
      </c>
      <c r="H178" s="79"/>
      <c r="I178" s="12" t="s">
        <v>231</v>
      </c>
      <c r="J178" s="17"/>
      <c r="K178" s="120" t="s">
        <v>217</v>
      </c>
      <c r="M178" s="2"/>
      <c r="N178" s="12" t="s">
        <v>34</v>
      </c>
      <c r="O178" s="17"/>
      <c r="P178" s="128" t="s">
        <v>24</v>
      </c>
      <c r="Q178" s="4"/>
      <c r="R178" s="12" t="s">
        <v>39</v>
      </c>
      <c r="S178" s="17"/>
      <c r="T178" s="128" t="s">
        <v>24</v>
      </c>
    </row>
    <row r="179" spans="2:24" x14ac:dyDescent="0.25">
      <c r="B179" s="122">
        <v>178</v>
      </c>
      <c r="D179" s="2"/>
      <c r="E179" s="7" t="s">
        <v>297</v>
      </c>
      <c r="F179" s="8"/>
      <c r="G179" s="69">
        <v>50000000</v>
      </c>
      <c r="H179" s="79"/>
      <c r="I179" s="7" t="s">
        <v>297</v>
      </c>
      <c r="J179" s="8"/>
      <c r="K179" s="69">
        <v>50000000</v>
      </c>
      <c r="M179" s="2"/>
      <c r="N179" s="7" t="s">
        <v>175</v>
      </c>
      <c r="O179" s="8"/>
      <c r="P179" s="69">
        <v>8000000000</v>
      </c>
      <c r="Q179" s="4"/>
      <c r="R179" s="7" t="s">
        <v>175</v>
      </c>
      <c r="S179" s="8"/>
      <c r="T179" s="69">
        <v>8000000000</v>
      </c>
    </row>
    <row r="180" spans="2:24" x14ac:dyDescent="0.25">
      <c r="B180" s="122">
        <v>179</v>
      </c>
      <c r="D180" s="2"/>
      <c r="E180" s="7" t="s">
        <v>298</v>
      </c>
      <c r="F180" s="8"/>
      <c r="G180" s="69">
        <v>50000000</v>
      </c>
      <c r="H180" s="4"/>
      <c r="I180" s="7" t="s">
        <v>298</v>
      </c>
      <c r="J180" s="8"/>
      <c r="K180" s="69">
        <v>50000000</v>
      </c>
      <c r="M180" s="2"/>
      <c r="N180" s="7" t="s">
        <v>102</v>
      </c>
      <c r="O180" s="8"/>
      <c r="P180" s="69">
        <v>8000000000</v>
      </c>
      <c r="Q180" s="4"/>
      <c r="R180" s="7" t="s">
        <v>102</v>
      </c>
      <c r="S180" s="8"/>
      <c r="T180" s="69">
        <v>8000000000</v>
      </c>
    </row>
    <row r="181" spans="2:24" x14ac:dyDescent="0.25">
      <c r="B181" s="122">
        <v>180</v>
      </c>
      <c r="D181" s="2"/>
      <c r="E181" s="7" t="s">
        <v>299</v>
      </c>
      <c r="F181" s="8"/>
      <c r="G181" s="69">
        <v>50000000</v>
      </c>
      <c r="H181" s="4"/>
      <c r="I181" s="7" t="s">
        <v>299</v>
      </c>
      <c r="J181" s="8"/>
      <c r="K181" s="69">
        <v>50000000</v>
      </c>
      <c r="M181" s="2"/>
      <c r="N181" s="7" t="s">
        <v>103</v>
      </c>
      <c r="O181" s="8"/>
      <c r="P181" s="69">
        <v>10000000000</v>
      </c>
      <c r="Q181" s="4"/>
      <c r="R181" s="7" t="s">
        <v>103</v>
      </c>
      <c r="S181" s="8"/>
      <c r="T181" s="69">
        <v>10000000000</v>
      </c>
    </row>
    <row r="182" spans="2:24" x14ac:dyDescent="0.25">
      <c r="B182" s="122">
        <v>181</v>
      </c>
      <c r="D182" s="2"/>
      <c r="E182" s="7" t="s">
        <v>300</v>
      </c>
      <c r="F182" s="8"/>
      <c r="G182" s="69">
        <v>50000000</v>
      </c>
      <c r="H182" s="4"/>
      <c r="I182" s="7" t="s">
        <v>300</v>
      </c>
      <c r="J182" s="8"/>
      <c r="K182" s="69">
        <v>50000000</v>
      </c>
      <c r="M182" s="2"/>
      <c r="N182" s="7" t="s">
        <v>104</v>
      </c>
      <c r="O182" s="8"/>
      <c r="P182" s="69">
        <v>1200000000</v>
      </c>
      <c r="Q182" s="4"/>
      <c r="R182" s="7" t="s">
        <v>105</v>
      </c>
      <c r="S182" s="8"/>
      <c r="T182" s="69">
        <v>1200000000</v>
      </c>
    </row>
    <row r="183" spans="2:24" x14ac:dyDescent="0.25">
      <c r="B183" s="122">
        <v>182</v>
      </c>
      <c r="D183" s="2"/>
      <c r="E183" s="12" t="s">
        <v>224</v>
      </c>
      <c r="F183" s="23"/>
      <c r="G183" s="73">
        <f>SUM(G179:G182)</f>
        <v>200000000</v>
      </c>
      <c r="H183" s="4"/>
      <c r="I183" s="12" t="s">
        <v>224</v>
      </c>
      <c r="J183" s="23"/>
      <c r="K183" s="73">
        <f>SUM(K179:K182)</f>
        <v>200000000</v>
      </c>
      <c r="M183" s="2"/>
      <c r="N183" s="12" t="s">
        <v>30</v>
      </c>
      <c r="O183" s="23"/>
      <c r="P183" s="73">
        <f>SUM(P179:P182)</f>
        <v>27200000000</v>
      </c>
      <c r="Q183" s="4"/>
      <c r="R183" s="12" t="s">
        <v>30</v>
      </c>
      <c r="S183" s="23"/>
      <c r="T183" s="73">
        <f>SUM(T179:T182)</f>
        <v>27200000000</v>
      </c>
    </row>
    <row r="184" spans="2:24" x14ac:dyDescent="0.25">
      <c r="B184" s="122">
        <v>183</v>
      </c>
    </row>
    <row r="185" spans="2:24" x14ac:dyDescent="0.25">
      <c r="B185" s="122">
        <v>184</v>
      </c>
      <c r="T185" s="141"/>
      <c r="U185" s="141"/>
      <c r="V185" s="141"/>
      <c r="W185" s="141"/>
      <c r="X185" s="141"/>
    </row>
    <row r="186" spans="2:24" ht="16.5" thickBot="1" x14ac:dyDescent="0.3">
      <c r="B186" s="122">
        <v>185</v>
      </c>
      <c r="D186" s="35" t="s">
        <v>106</v>
      </c>
      <c r="E186" s="35" t="s">
        <v>304</v>
      </c>
      <c r="F186" s="42"/>
      <c r="G186" s="42"/>
      <c r="M186" s="35" t="s">
        <v>106</v>
      </c>
      <c r="N186" s="35" t="s">
        <v>107</v>
      </c>
      <c r="O186" s="42"/>
      <c r="P186" s="42"/>
      <c r="T186" s="142"/>
      <c r="U186" s="143"/>
      <c r="V186" s="143"/>
      <c r="W186" s="141"/>
      <c r="X186" s="141"/>
    </row>
    <row r="187" spans="2:24" ht="15.75" x14ac:dyDescent="0.25">
      <c r="B187" s="122">
        <v>186</v>
      </c>
      <c r="D187" s="75"/>
      <c r="E187" s="1"/>
      <c r="F187" s="3"/>
      <c r="G187" s="129" t="s">
        <v>214</v>
      </c>
      <c r="M187" s="1"/>
      <c r="O187" s="76"/>
      <c r="P187" s="77" t="s">
        <v>170</v>
      </c>
      <c r="T187" s="144"/>
      <c r="U187" s="143"/>
      <c r="V187" s="143"/>
      <c r="W187" s="141"/>
      <c r="X187" s="141"/>
    </row>
    <row r="188" spans="2:24" x14ac:dyDescent="0.25">
      <c r="B188" s="122">
        <v>187</v>
      </c>
      <c r="D188" s="1"/>
      <c r="M188" s="1"/>
      <c r="N188" s="1"/>
      <c r="O188" s="3"/>
      <c r="P188" s="3"/>
      <c r="T188" s="141"/>
      <c r="U188" s="145"/>
      <c r="V188" s="145"/>
      <c r="W188" s="141"/>
      <c r="X188" s="141"/>
    </row>
    <row r="189" spans="2:24" x14ac:dyDescent="0.25">
      <c r="B189" s="122">
        <v>188</v>
      </c>
      <c r="D189" s="1"/>
      <c r="E189" s="39" t="s">
        <v>305</v>
      </c>
      <c r="F189" s="43"/>
      <c r="G189" s="44" t="s">
        <v>217</v>
      </c>
      <c r="M189" s="1"/>
      <c r="N189" s="39" t="s">
        <v>108</v>
      </c>
      <c r="O189" s="43"/>
      <c r="P189" s="44" t="s">
        <v>24</v>
      </c>
      <c r="T189" s="146"/>
      <c r="U189" s="147"/>
      <c r="V189" s="147"/>
      <c r="W189" s="141"/>
      <c r="X189" s="141"/>
    </row>
    <row r="190" spans="2:24" x14ac:dyDescent="0.25">
      <c r="B190" s="122">
        <v>189</v>
      </c>
      <c r="D190" s="1"/>
      <c r="E190" s="38" t="s">
        <v>306</v>
      </c>
      <c r="F190" s="36"/>
      <c r="G190" s="62">
        <v>100000000</v>
      </c>
      <c r="M190" s="1"/>
      <c r="N190" s="38" t="s">
        <v>149</v>
      </c>
      <c r="O190" s="36"/>
      <c r="P190" s="62">
        <v>0</v>
      </c>
      <c r="T190" s="141"/>
      <c r="U190" s="145"/>
      <c r="V190" s="148"/>
      <c r="W190" s="141"/>
      <c r="X190" s="141"/>
    </row>
    <row r="191" spans="2:24" x14ac:dyDescent="0.25">
      <c r="B191" s="122">
        <v>190</v>
      </c>
      <c r="D191" s="1"/>
      <c r="E191" s="38" t="s">
        <v>307</v>
      </c>
      <c r="F191" s="36"/>
      <c r="G191" s="62">
        <v>100000000</v>
      </c>
      <c r="M191" s="1"/>
      <c r="N191" s="38" t="s">
        <v>109</v>
      </c>
      <c r="O191" s="36"/>
      <c r="P191" s="62">
        <v>0</v>
      </c>
      <c r="T191" s="141"/>
      <c r="U191" s="145"/>
      <c r="V191" s="148"/>
      <c r="W191" s="141"/>
      <c r="X191" s="141"/>
    </row>
    <row r="192" spans="2:24" x14ac:dyDescent="0.25">
      <c r="B192" s="122">
        <v>191</v>
      </c>
      <c r="D192" s="1"/>
      <c r="E192" s="51" t="s">
        <v>308</v>
      </c>
      <c r="F192" s="52"/>
      <c r="G192" s="62">
        <v>50000000</v>
      </c>
      <c r="M192" s="1"/>
      <c r="N192" s="51" t="s">
        <v>122</v>
      </c>
      <c r="O192" s="52"/>
      <c r="P192" s="62">
        <v>0</v>
      </c>
      <c r="T192" s="141"/>
      <c r="U192" s="145"/>
      <c r="V192" s="148"/>
      <c r="W192" s="141"/>
      <c r="X192" s="141"/>
    </row>
    <row r="193" spans="2:24" x14ac:dyDescent="0.25">
      <c r="B193" s="122">
        <v>192</v>
      </c>
      <c r="D193" s="1"/>
      <c r="E193" s="40" t="s">
        <v>224</v>
      </c>
      <c r="F193" s="45"/>
      <c r="G193" s="63">
        <f>G190+G191</f>
        <v>200000000</v>
      </c>
      <c r="M193" s="1"/>
      <c r="N193" s="40" t="s">
        <v>30</v>
      </c>
      <c r="O193" s="45"/>
      <c r="P193" s="63">
        <f>SUM(P190:P191)</f>
        <v>0</v>
      </c>
      <c r="T193" s="146"/>
      <c r="U193" s="147"/>
      <c r="V193" s="149"/>
      <c r="W193" s="141"/>
      <c r="X193" s="141"/>
    </row>
    <row r="194" spans="2:24" x14ac:dyDescent="0.25">
      <c r="B194" s="122">
        <v>193</v>
      </c>
      <c r="D194" s="1"/>
      <c r="E194" s="40" t="s">
        <v>309</v>
      </c>
      <c r="F194" s="45"/>
      <c r="G194" s="60" t="e">
        <v>#DIV/0!</v>
      </c>
      <c r="M194" s="1"/>
      <c r="N194" s="40" t="s">
        <v>163</v>
      </c>
      <c r="O194" s="45"/>
      <c r="P194" s="60">
        <f>P193/Primärdeckung!$C$14</f>
        <v>0</v>
      </c>
      <c r="T194" s="146"/>
      <c r="U194" s="147"/>
      <c r="V194" s="150"/>
      <c r="W194" s="141"/>
      <c r="X194" s="141"/>
    </row>
    <row r="195" spans="2:24" x14ac:dyDescent="0.25">
      <c r="B195" s="122">
        <v>194</v>
      </c>
      <c r="D195" s="1"/>
      <c r="E195" s="1"/>
      <c r="F195" s="3"/>
      <c r="G195" s="3"/>
      <c r="M195" s="1"/>
      <c r="N195" s="1"/>
      <c r="O195" s="3"/>
      <c r="P195" s="3"/>
      <c r="T195" s="141"/>
      <c r="U195" s="145"/>
      <c r="V195" s="145"/>
      <c r="W195" s="141"/>
      <c r="X195" s="141"/>
    </row>
    <row r="196" spans="2:24" x14ac:dyDescent="0.25">
      <c r="B196" s="122">
        <v>195</v>
      </c>
      <c r="D196" s="1"/>
      <c r="E196" s="39" t="s">
        <v>310</v>
      </c>
      <c r="F196" s="43" t="s">
        <v>217</v>
      </c>
      <c r="G196" s="44" t="s">
        <v>218</v>
      </c>
      <c r="M196" s="1"/>
      <c r="N196" s="39" t="s">
        <v>110</v>
      </c>
      <c r="O196" s="43" t="s">
        <v>24</v>
      </c>
      <c r="P196" s="44" t="s">
        <v>25</v>
      </c>
      <c r="T196" s="146"/>
      <c r="U196" s="147"/>
      <c r="V196" s="147"/>
      <c r="W196" s="141"/>
      <c r="X196" s="141"/>
    </row>
    <row r="197" spans="2:24" x14ac:dyDescent="0.25">
      <c r="B197" s="122">
        <v>196</v>
      </c>
      <c r="D197" s="1"/>
      <c r="E197" s="38" t="s">
        <v>111</v>
      </c>
      <c r="F197" s="64">
        <v>100000000</v>
      </c>
      <c r="G197" s="48">
        <v>10</v>
      </c>
      <c r="M197" s="1"/>
      <c r="N197" s="38" t="s">
        <v>111</v>
      </c>
      <c r="O197" s="64">
        <v>100000000</v>
      </c>
      <c r="P197" s="48">
        <v>10</v>
      </c>
      <c r="T197" s="141"/>
      <c r="U197" s="148"/>
      <c r="V197" s="151"/>
      <c r="W197" s="141"/>
      <c r="X197" s="141"/>
    </row>
    <row r="198" spans="2:24" x14ac:dyDescent="0.25">
      <c r="B198" s="122">
        <v>197</v>
      </c>
      <c r="D198" s="1"/>
      <c r="E198" s="38" t="s">
        <v>28</v>
      </c>
      <c r="F198" s="64">
        <v>100000000</v>
      </c>
      <c r="G198" s="48">
        <v>20</v>
      </c>
      <c r="M198" s="1"/>
      <c r="N198" s="38" t="s">
        <v>28</v>
      </c>
      <c r="O198" s="64">
        <v>200000000</v>
      </c>
      <c r="P198" s="48">
        <v>20</v>
      </c>
      <c r="T198" s="141"/>
      <c r="U198" s="148"/>
      <c r="V198" s="151"/>
      <c r="W198" s="141"/>
      <c r="X198" s="141"/>
    </row>
    <row r="199" spans="2:24" x14ac:dyDescent="0.25">
      <c r="B199" s="122">
        <v>198</v>
      </c>
      <c r="D199" s="1"/>
      <c r="E199" s="38" t="s">
        <v>29</v>
      </c>
      <c r="F199" s="64">
        <v>100000000</v>
      </c>
      <c r="G199" s="48">
        <v>20</v>
      </c>
      <c r="M199" s="1"/>
      <c r="N199" s="38" t="s">
        <v>29</v>
      </c>
      <c r="O199" s="64">
        <v>200000000</v>
      </c>
      <c r="P199" s="48">
        <v>20</v>
      </c>
      <c r="T199" s="141"/>
      <c r="U199" s="148"/>
      <c r="V199" s="151"/>
      <c r="W199" s="141"/>
      <c r="X199" s="141"/>
    </row>
    <row r="200" spans="2:24" x14ac:dyDescent="0.25">
      <c r="B200" s="122">
        <v>199</v>
      </c>
      <c r="D200" s="1"/>
      <c r="E200" s="40" t="s">
        <v>224</v>
      </c>
      <c r="F200" s="66">
        <f>SUM(F197:F199)</f>
        <v>300000000</v>
      </c>
      <c r="G200" s="49">
        <f>SUM(G197:G199)</f>
        <v>50</v>
      </c>
      <c r="M200" s="1"/>
      <c r="N200" s="40" t="s">
        <v>30</v>
      </c>
      <c r="O200" s="66">
        <f>SUM(O197:O199)</f>
        <v>500000000</v>
      </c>
      <c r="P200" s="49">
        <f>SUM(P197:P199)</f>
        <v>50</v>
      </c>
      <c r="T200" s="146"/>
      <c r="U200" s="149"/>
      <c r="V200" s="152"/>
      <c r="W200" s="141"/>
      <c r="X200" s="141"/>
    </row>
    <row r="201" spans="2:24" x14ac:dyDescent="0.25">
      <c r="B201" s="122">
        <v>200</v>
      </c>
      <c r="D201" s="1"/>
      <c r="E201" s="1"/>
      <c r="F201" s="3"/>
      <c r="G201" s="3"/>
      <c r="M201" s="1"/>
      <c r="N201" s="1"/>
      <c r="O201" s="3"/>
      <c r="P201" s="3"/>
      <c r="T201" s="141"/>
      <c r="U201" s="145"/>
      <c r="V201" s="145"/>
      <c r="W201" s="141"/>
      <c r="X201" s="141"/>
    </row>
    <row r="202" spans="2:24" x14ac:dyDescent="0.25">
      <c r="B202" s="122">
        <v>201</v>
      </c>
      <c r="D202" s="1"/>
      <c r="E202" s="39" t="s">
        <v>311</v>
      </c>
      <c r="F202" s="43" t="s">
        <v>217</v>
      </c>
      <c r="G202" s="44" t="s">
        <v>41</v>
      </c>
      <c r="M202" s="1"/>
      <c r="N202" s="39" t="s">
        <v>112</v>
      </c>
      <c r="O202" s="43" t="s">
        <v>24</v>
      </c>
      <c r="P202" s="44" t="s">
        <v>41</v>
      </c>
      <c r="T202" s="146"/>
      <c r="U202" s="147"/>
      <c r="V202" s="147"/>
      <c r="W202" s="141"/>
      <c r="X202" s="141"/>
    </row>
    <row r="203" spans="2:24" x14ac:dyDescent="0.25">
      <c r="B203" s="122">
        <v>202</v>
      </c>
      <c r="D203" s="1"/>
      <c r="E203" s="38" t="s">
        <v>113</v>
      </c>
      <c r="F203" s="64">
        <v>100000000</v>
      </c>
      <c r="G203" s="46">
        <f>IF(($C$22=0),0,(F203/$C$22))</f>
        <v>0</v>
      </c>
      <c r="M203" s="1"/>
      <c r="N203" s="38" t="s">
        <v>113</v>
      </c>
      <c r="O203" s="64">
        <v>0</v>
      </c>
      <c r="P203" s="46">
        <f>IF(($C$23=0),0,(O203/$C$23))</f>
        <v>0</v>
      </c>
      <c r="T203" s="141"/>
      <c r="U203" s="148"/>
      <c r="V203" s="153"/>
      <c r="W203" s="141"/>
      <c r="X203" s="141"/>
    </row>
    <row r="204" spans="2:24" x14ac:dyDescent="0.25">
      <c r="B204" s="122">
        <v>203</v>
      </c>
      <c r="D204" s="1"/>
      <c r="E204" s="38" t="s">
        <v>114</v>
      </c>
      <c r="F204" s="64">
        <v>100000000</v>
      </c>
      <c r="G204" s="46">
        <f t="shared" ref="G204:G207" si="16">IF(($C$22=0),0,(F204/$C$22))</f>
        <v>0</v>
      </c>
      <c r="M204" s="1"/>
      <c r="N204" s="38" t="s">
        <v>114</v>
      </c>
      <c r="O204" s="64">
        <v>0</v>
      </c>
      <c r="P204" s="46">
        <f t="shared" ref="P204:P207" si="17">IF(($C$23=0),0,(O204/$C$23))</f>
        <v>0</v>
      </c>
      <c r="T204" s="141"/>
      <c r="U204" s="148"/>
      <c r="V204" s="153"/>
      <c r="W204" s="141"/>
      <c r="X204" s="141"/>
    </row>
    <row r="205" spans="2:24" x14ac:dyDescent="0.25">
      <c r="B205" s="122">
        <v>204</v>
      </c>
      <c r="D205" s="1"/>
      <c r="E205" s="38" t="s">
        <v>115</v>
      </c>
      <c r="F205" s="64">
        <v>100000000</v>
      </c>
      <c r="G205" s="46">
        <f t="shared" si="16"/>
        <v>0</v>
      </c>
      <c r="M205" s="1"/>
      <c r="N205" s="38" t="s">
        <v>115</v>
      </c>
      <c r="O205" s="64">
        <v>0</v>
      </c>
      <c r="P205" s="46">
        <f t="shared" si="17"/>
        <v>0</v>
      </c>
      <c r="T205" s="141"/>
      <c r="U205" s="148"/>
      <c r="V205" s="153"/>
      <c r="W205" s="141"/>
      <c r="X205" s="141"/>
    </row>
    <row r="206" spans="2:24" x14ac:dyDescent="0.25">
      <c r="B206" s="122">
        <v>205</v>
      </c>
      <c r="D206" s="1"/>
      <c r="E206" s="38" t="s">
        <v>167</v>
      </c>
      <c r="F206" s="64">
        <v>100000000</v>
      </c>
      <c r="G206" s="46">
        <f t="shared" si="16"/>
        <v>0</v>
      </c>
      <c r="M206" s="1"/>
      <c r="N206" s="38" t="s">
        <v>167</v>
      </c>
      <c r="O206" s="64">
        <v>0</v>
      </c>
      <c r="P206" s="46">
        <f t="shared" si="17"/>
        <v>0</v>
      </c>
      <c r="T206" s="141"/>
      <c r="U206" s="148"/>
      <c r="V206" s="153"/>
      <c r="W206" s="141"/>
      <c r="X206" s="141"/>
    </row>
    <row r="207" spans="2:24" x14ac:dyDescent="0.25">
      <c r="B207" s="122">
        <v>206</v>
      </c>
      <c r="D207" s="1"/>
      <c r="E207" s="38" t="s">
        <v>312</v>
      </c>
      <c r="F207" s="64">
        <v>100000000</v>
      </c>
      <c r="G207" s="46">
        <f t="shared" si="16"/>
        <v>0</v>
      </c>
      <c r="M207" s="1"/>
      <c r="N207" s="38" t="s">
        <v>116</v>
      </c>
      <c r="O207" s="64">
        <v>0</v>
      </c>
      <c r="P207" s="46">
        <f t="shared" si="17"/>
        <v>0</v>
      </c>
      <c r="T207" s="141"/>
      <c r="U207" s="148"/>
      <c r="V207" s="153"/>
      <c r="W207" s="141"/>
      <c r="X207" s="141"/>
    </row>
    <row r="208" spans="2:24" x14ac:dyDescent="0.25">
      <c r="B208" s="122">
        <v>207</v>
      </c>
      <c r="D208" s="1"/>
      <c r="E208" s="40" t="s">
        <v>224</v>
      </c>
      <c r="F208" s="66">
        <f>SUM(F203:F207)</f>
        <v>500000000</v>
      </c>
      <c r="G208" s="47">
        <f>SUM(G203:G207)</f>
        <v>0</v>
      </c>
      <c r="M208" s="1"/>
      <c r="N208" s="40" t="s">
        <v>30</v>
      </c>
      <c r="O208" s="66">
        <f>SUM(O203:O207)</f>
        <v>0</v>
      </c>
      <c r="P208" s="47">
        <f>SUM(P203:P207)</f>
        <v>0</v>
      </c>
      <c r="T208" s="146"/>
      <c r="U208" s="149"/>
      <c r="V208" s="154"/>
      <c r="W208" s="141"/>
      <c r="X208" s="141"/>
    </row>
    <row r="209" spans="2:24" x14ac:dyDescent="0.25">
      <c r="B209" s="122">
        <v>208</v>
      </c>
      <c r="D209" s="1"/>
      <c r="E209" s="1"/>
      <c r="F209" s="3"/>
      <c r="G209" s="3"/>
      <c r="M209" s="5"/>
      <c r="N209" s="1"/>
      <c r="O209" s="3"/>
      <c r="P209" s="3"/>
      <c r="T209" s="141"/>
      <c r="U209" s="145"/>
      <c r="V209" s="145"/>
      <c r="W209" s="141"/>
      <c r="X209" s="141"/>
    </row>
    <row r="210" spans="2:24" x14ac:dyDescent="0.25">
      <c r="B210" s="122">
        <v>209</v>
      </c>
      <c r="D210" s="1"/>
      <c r="E210" s="39" t="s">
        <v>313</v>
      </c>
      <c r="F210" s="43" t="s">
        <v>217</v>
      </c>
      <c r="G210" s="44" t="s">
        <v>41</v>
      </c>
      <c r="M210" s="5"/>
      <c r="N210" s="39" t="s">
        <v>150</v>
      </c>
      <c r="O210" s="43" t="s">
        <v>24</v>
      </c>
      <c r="P210" s="44" t="s">
        <v>41</v>
      </c>
      <c r="V210" s="147"/>
      <c r="W210" s="141"/>
      <c r="X210" s="141"/>
    </row>
    <row r="211" spans="2:24" x14ac:dyDescent="0.25">
      <c r="B211" s="122">
        <v>210</v>
      </c>
      <c r="D211" s="1"/>
      <c r="E211" s="41" t="s">
        <v>235</v>
      </c>
      <c r="F211" s="65">
        <f>SUM(F212:F239)</f>
        <v>560000000</v>
      </c>
      <c r="G211" s="138">
        <f>SUM(G212:G239)</f>
        <v>0</v>
      </c>
      <c r="M211" s="5"/>
      <c r="N211" s="41" t="s">
        <v>45</v>
      </c>
      <c r="O211" s="65">
        <f>SUM(O212:O239)</f>
        <v>1500000000</v>
      </c>
      <c r="P211" s="50">
        <f>SUM(P212:P239)</f>
        <v>0</v>
      </c>
      <c r="V211" s="154"/>
      <c r="W211" s="141"/>
      <c r="X211" s="141"/>
    </row>
    <row r="212" spans="2:24" x14ac:dyDescent="0.25">
      <c r="B212" s="122">
        <v>211</v>
      </c>
      <c r="D212" s="1"/>
      <c r="E212" s="139" t="s">
        <v>236</v>
      </c>
      <c r="F212" s="81">
        <v>20000000</v>
      </c>
      <c r="G212" s="140">
        <f>IF(($C$60=0),0,(F212/$C$60))</f>
        <v>0</v>
      </c>
      <c r="M212" s="5"/>
      <c r="N212" s="38" t="s">
        <v>61</v>
      </c>
      <c r="O212" s="81">
        <v>300000000</v>
      </c>
      <c r="P212" s="82">
        <f>IF(($C$61=0),0,(O212/$C$61))</f>
        <v>0</v>
      </c>
      <c r="V212" s="155"/>
      <c r="W212" s="141"/>
      <c r="X212" s="141"/>
    </row>
    <row r="213" spans="2:24" x14ac:dyDescent="0.25">
      <c r="B213" s="122">
        <v>212</v>
      </c>
      <c r="D213" s="1"/>
      <c r="E213" s="139" t="s">
        <v>237</v>
      </c>
      <c r="F213" s="81">
        <v>20000000</v>
      </c>
      <c r="G213" s="140">
        <f t="shared" ref="G213:G239" si="18">IF(($C$60=0),0,(F213/$C$60))</f>
        <v>0</v>
      </c>
      <c r="M213" s="5"/>
      <c r="N213" s="38" t="s">
        <v>46</v>
      </c>
      <c r="O213" s="81">
        <v>100000000</v>
      </c>
      <c r="P213" s="82">
        <f t="shared" ref="P213:P239" si="19">IF(($C$61=0),0,(O213/$C$61))</f>
        <v>0</v>
      </c>
      <c r="V213" s="155"/>
      <c r="W213" s="141"/>
      <c r="X213" s="141"/>
    </row>
    <row r="214" spans="2:24" x14ac:dyDescent="0.25">
      <c r="B214" s="122">
        <v>213</v>
      </c>
      <c r="D214" s="1"/>
      <c r="E214" s="139" t="s">
        <v>238</v>
      </c>
      <c r="F214" s="81">
        <v>20000000</v>
      </c>
      <c r="G214" s="140">
        <f t="shared" si="18"/>
        <v>0</v>
      </c>
      <c r="M214" s="5"/>
      <c r="N214" s="38" t="s">
        <v>47</v>
      </c>
      <c r="O214" s="81">
        <v>100000000</v>
      </c>
      <c r="P214" s="82">
        <f t="shared" si="19"/>
        <v>0</v>
      </c>
      <c r="V214" s="155"/>
      <c r="W214" s="141"/>
      <c r="X214" s="141"/>
    </row>
    <row r="215" spans="2:24" x14ac:dyDescent="0.25">
      <c r="B215" s="122">
        <v>214</v>
      </c>
      <c r="D215" s="1"/>
      <c r="E215" s="38" t="s">
        <v>239</v>
      </c>
      <c r="F215" s="81">
        <v>20000000</v>
      </c>
      <c r="G215" s="140">
        <f t="shared" si="18"/>
        <v>0</v>
      </c>
      <c r="M215" s="5"/>
      <c r="N215" s="38" t="s">
        <v>176</v>
      </c>
      <c r="O215" s="81">
        <v>1000000000</v>
      </c>
      <c r="P215" s="82">
        <f t="shared" si="19"/>
        <v>0</v>
      </c>
      <c r="V215" s="155"/>
      <c r="W215" s="141"/>
      <c r="X215" s="141"/>
    </row>
    <row r="216" spans="2:24" x14ac:dyDescent="0.25">
      <c r="B216" s="122">
        <v>215</v>
      </c>
      <c r="D216" s="1"/>
      <c r="E216" s="139" t="s">
        <v>240</v>
      </c>
      <c r="F216" s="81">
        <v>20000000</v>
      </c>
      <c r="G216" s="140">
        <f t="shared" si="18"/>
        <v>0</v>
      </c>
      <c r="M216" s="5"/>
      <c r="N216" s="38" t="s">
        <v>72</v>
      </c>
      <c r="O216" s="81">
        <v>0</v>
      </c>
      <c r="P216" s="82">
        <f t="shared" si="19"/>
        <v>0</v>
      </c>
      <c r="V216" s="155"/>
      <c r="W216" s="141"/>
      <c r="X216" s="141"/>
    </row>
    <row r="217" spans="2:24" x14ac:dyDescent="0.25">
      <c r="B217" s="122">
        <v>216</v>
      </c>
      <c r="D217" s="1"/>
      <c r="E217" s="139" t="s">
        <v>241</v>
      </c>
      <c r="F217" s="81">
        <v>20000000</v>
      </c>
      <c r="G217" s="140">
        <f t="shared" si="18"/>
        <v>0</v>
      </c>
      <c r="M217" s="5"/>
      <c r="N217" s="38" t="s">
        <v>69</v>
      </c>
      <c r="O217" s="81">
        <v>0</v>
      </c>
      <c r="P217" s="82">
        <f t="shared" si="19"/>
        <v>0</v>
      </c>
      <c r="V217" s="155"/>
      <c r="W217" s="141"/>
      <c r="X217" s="141"/>
    </row>
    <row r="218" spans="2:24" x14ac:dyDescent="0.25">
      <c r="B218" s="122">
        <v>217</v>
      </c>
      <c r="D218" s="1"/>
      <c r="E218" s="139" t="s">
        <v>242</v>
      </c>
      <c r="F218" s="81">
        <v>20000000</v>
      </c>
      <c r="G218" s="140">
        <f t="shared" si="18"/>
        <v>0</v>
      </c>
      <c r="M218" s="5"/>
      <c r="N218" s="38" t="s">
        <v>48</v>
      </c>
      <c r="O218" s="81">
        <v>0</v>
      </c>
      <c r="P218" s="82">
        <f t="shared" si="19"/>
        <v>0</v>
      </c>
      <c r="V218" s="155"/>
      <c r="W218" s="141"/>
      <c r="X218" s="141"/>
    </row>
    <row r="219" spans="2:24" x14ac:dyDescent="0.25">
      <c r="B219" s="122">
        <v>218</v>
      </c>
      <c r="D219" s="1"/>
      <c r="E219" s="139" t="s">
        <v>243</v>
      </c>
      <c r="F219" s="81">
        <v>20000000</v>
      </c>
      <c r="G219" s="140">
        <f t="shared" si="18"/>
        <v>0</v>
      </c>
      <c r="M219" s="5"/>
      <c r="N219" s="38" t="s">
        <v>50</v>
      </c>
      <c r="O219" s="81">
        <v>0</v>
      </c>
      <c r="P219" s="82">
        <f t="shared" si="19"/>
        <v>0</v>
      </c>
      <c r="V219" s="155"/>
      <c r="W219" s="141"/>
      <c r="X219" s="141"/>
    </row>
    <row r="220" spans="2:24" x14ac:dyDescent="0.25">
      <c r="B220" s="122">
        <v>219</v>
      </c>
      <c r="D220" s="1"/>
      <c r="E220" s="139" t="s">
        <v>51</v>
      </c>
      <c r="F220" s="81">
        <v>20000000</v>
      </c>
      <c r="G220" s="140">
        <f t="shared" si="18"/>
        <v>0</v>
      </c>
      <c r="M220" s="5"/>
      <c r="N220" s="38" t="s">
        <v>51</v>
      </c>
      <c r="O220" s="81">
        <v>0</v>
      </c>
      <c r="P220" s="82">
        <f t="shared" si="19"/>
        <v>0</v>
      </c>
      <c r="V220" s="155"/>
      <c r="W220" s="141"/>
      <c r="X220" s="141"/>
    </row>
    <row r="221" spans="2:24" x14ac:dyDescent="0.25">
      <c r="B221" s="122">
        <v>220</v>
      </c>
      <c r="D221" s="1"/>
      <c r="E221" s="139" t="s">
        <v>244</v>
      </c>
      <c r="F221" s="81">
        <v>20000000</v>
      </c>
      <c r="G221" s="140">
        <f t="shared" si="18"/>
        <v>0</v>
      </c>
      <c r="M221" s="5"/>
      <c r="N221" s="38" t="s">
        <v>52</v>
      </c>
      <c r="O221" s="81">
        <v>0</v>
      </c>
      <c r="P221" s="82">
        <f t="shared" si="19"/>
        <v>0</v>
      </c>
      <c r="V221" s="155"/>
      <c r="W221" s="141"/>
      <c r="X221" s="141"/>
    </row>
    <row r="222" spans="2:24" x14ac:dyDescent="0.25">
      <c r="B222" s="122">
        <v>221</v>
      </c>
      <c r="D222" s="1"/>
      <c r="E222" s="139" t="s">
        <v>245</v>
      </c>
      <c r="F222" s="81">
        <v>20000000</v>
      </c>
      <c r="G222" s="140">
        <f t="shared" si="18"/>
        <v>0</v>
      </c>
      <c r="M222" s="5"/>
      <c r="N222" s="38" t="s">
        <v>49</v>
      </c>
      <c r="O222" s="81">
        <v>0</v>
      </c>
      <c r="P222" s="82">
        <f t="shared" si="19"/>
        <v>0</v>
      </c>
      <c r="V222" s="155"/>
      <c r="W222" s="141"/>
      <c r="X222" s="141"/>
    </row>
    <row r="223" spans="2:24" x14ac:dyDescent="0.25">
      <c r="B223" s="122">
        <v>222</v>
      </c>
      <c r="D223" s="1"/>
      <c r="E223" s="139" t="s">
        <v>246</v>
      </c>
      <c r="F223" s="81">
        <v>20000000</v>
      </c>
      <c r="G223" s="140">
        <f t="shared" si="18"/>
        <v>0</v>
      </c>
      <c r="M223" s="5"/>
      <c r="N223" s="38" t="s">
        <v>53</v>
      </c>
      <c r="O223" s="81">
        <v>0</v>
      </c>
      <c r="P223" s="82">
        <f t="shared" si="19"/>
        <v>0</v>
      </c>
      <c r="V223" s="155"/>
      <c r="W223" s="141"/>
      <c r="X223" s="141"/>
    </row>
    <row r="224" spans="2:24" x14ac:dyDescent="0.25">
      <c r="B224" s="122">
        <v>223</v>
      </c>
      <c r="D224" s="1"/>
      <c r="E224" s="139" t="s">
        <v>247</v>
      </c>
      <c r="F224" s="81">
        <v>20000000</v>
      </c>
      <c r="G224" s="140">
        <f t="shared" si="18"/>
        <v>0</v>
      </c>
      <c r="M224" s="5"/>
      <c r="N224" s="38" t="s">
        <v>70</v>
      </c>
      <c r="O224" s="81">
        <v>0</v>
      </c>
      <c r="P224" s="82">
        <f t="shared" si="19"/>
        <v>0</v>
      </c>
      <c r="V224" s="155"/>
      <c r="W224" s="141"/>
      <c r="X224" s="141"/>
    </row>
    <row r="225" spans="2:24" x14ac:dyDescent="0.25">
      <c r="B225" s="122">
        <v>224</v>
      </c>
      <c r="D225" s="1"/>
      <c r="E225" s="139" t="s">
        <v>54</v>
      </c>
      <c r="F225" s="81">
        <v>20000000</v>
      </c>
      <c r="G225" s="140">
        <f t="shared" si="18"/>
        <v>0</v>
      </c>
      <c r="M225" s="5"/>
      <c r="N225" s="38" t="s">
        <v>54</v>
      </c>
      <c r="O225" s="81">
        <v>0</v>
      </c>
      <c r="P225" s="82">
        <f t="shared" si="19"/>
        <v>0</v>
      </c>
      <c r="V225" s="155"/>
      <c r="W225" s="141"/>
      <c r="X225" s="141"/>
    </row>
    <row r="226" spans="2:24" x14ac:dyDescent="0.25">
      <c r="B226" s="122">
        <v>225</v>
      </c>
      <c r="D226" s="1"/>
      <c r="E226" s="139" t="s">
        <v>248</v>
      </c>
      <c r="F226" s="81">
        <v>20000000</v>
      </c>
      <c r="G226" s="140">
        <f t="shared" si="18"/>
        <v>0</v>
      </c>
      <c r="M226" s="5"/>
      <c r="N226" s="38" t="s">
        <v>55</v>
      </c>
      <c r="O226" s="81">
        <v>0</v>
      </c>
      <c r="P226" s="82">
        <f t="shared" si="19"/>
        <v>0</v>
      </c>
      <c r="V226" s="155"/>
      <c r="W226" s="141"/>
      <c r="X226" s="141"/>
    </row>
    <row r="227" spans="2:24" x14ac:dyDescent="0.25">
      <c r="B227" s="122">
        <v>226</v>
      </c>
      <c r="D227" s="1"/>
      <c r="E227" s="139" t="s">
        <v>249</v>
      </c>
      <c r="F227" s="81">
        <v>20000000</v>
      </c>
      <c r="G227" s="140">
        <f t="shared" si="18"/>
        <v>0</v>
      </c>
      <c r="M227" s="5"/>
      <c r="N227" s="38" t="s">
        <v>56</v>
      </c>
      <c r="O227" s="81">
        <v>0</v>
      </c>
      <c r="P227" s="82">
        <f t="shared" si="19"/>
        <v>0</v>
      </c>
      <c r="V227" s="155"/>
      <c r="W227" s="141"/>
      <c r="X227" s="141"/>
    </row>
    <row r="228" spans="2:24" x14ac:dyDescent="0.25">
      <c r="B228" s="122">
        <v>227</v>
      </c>
      <c r="D228" s="1"/>
      <c r="E228" s="139" t="s">
        <v>250</v>
      </c>
      <c r="F228" s="81">
        <v>20000000</v>
      </c>
      <c r="G228" s="140">
        <f t="shared" si="18"/>
        <v>0</v>
      </c>
      <c r="M228" s="5"/>
      <c r="N228" s="38" t="s">
        <v>57</v>
      </c>
      <c r="O228" s="81">
        <v>0</v>
      </c>
      <c r="P228" s="82">
        <f t="shared" si="19"/>
        <v>0</v>
      </c>
      <c r="V228" s="155"/>
      <c r="W228" s="141"/>
      <c r="X228" s="141"/>
    </row>
    <row r="229" spans="2:24" x14ac:dyDescent="0.25">
      <c r="B229" s="122">
        <v>228</v>
      </c>
      <c r="D229" s="1"/>
      <c r="E229" s="139" t="s">
        <v>251</v>
      </c>
      <c r="F229" s="81">
        <v>20000000</v>
      </c>
      <c r="G229" s="140">
        <f t="shared" si="18"/>
        <v>0</v>
      </c>
      <c r="M229" s="5"/>
      <c r="N229" s="38" t="s">
        <v>58</v>
      </c>
      <c r="O229" s="81">
        <v>0</v>
      </c>
      <c r="P229" s="82">
        <f t="shared" si="19"/>
        <v>0</v>
      </c>
      <c r="V229" s="155"/>
      <c r="W229" s="141"/>
      <c r="X229" s="141"/>
    </row>
    <row r="230" spans="2:24" x14ac:dyDescent="0.25">
      <c r="B230" s="122">
        <v>229</v>
      </c>
      <c r="D230" s="1"/>
      <c r="E230" s="139" t="s">
        <v>59</v>
      </c>
      <c r="F230" s="81">
        <v>20000000</v>
      </c>
      <c r="G230" s="140">
        <f t="shared" si="18"/>
        <v>0</v>
      </c>
      <c r="M230" s="5"/>
      <c r="N230" s="38" t="s">
        <v>59</v>
      </c>
      <c r="O230" s="81">
        <v>0</v>
      </c>
      <c r="P230" s="82">
        <f t="shared" si="19"/>
        <v>0</v>
      </c>
      <c r="V230" s="155"/>
      <c r="W230" s="141"/>
      <c r="X230" s="141"/>
    </row>
    <row r="231" spans="2:24" x14ac:dyDescent="0.25">
      <c r="B231" s="122">
        <v>230</v>
      </c>
      <c r="D231" s="1"/>
      <c r="E231" s="139" t="s">
        <v>252</v>
      </c>
      <c r="F231" s="81">
        <v>20000000</v>
      </c>
      <c r="G231" s="140">
        <f t="shared" si="18"/>
        <v>0</v>
      </c>
      <c r="M231" s="5"/>
      <c r="N231" s="38" t="s">
        <v>62</v>
      </c>
      <c r="O231" s="81">
        <v>0</v>
      </c>
      <c r="P231" s="82">
        <f t="shared" si="19"/>
        <v>0</v>
      </c>
      <c r="V231" s="155"/>
      <c r="W231" s="141"/>
      <c r="X231" s="141"/>
    </row>
    <row r="232" spans="2:24" x14ac:dyDescent="0.25">
      <c r="B232" s="122">
        <v>231</v>
      </c>
      <c r="D232" s="1"/>
      <c r="E232" s="139" t="s">
        <v>63</v>
      </c>
      <c r="F232" s="81">
        <v>20000000</v>
      </c>
      <c r="G232" s="140">
        <f t="shared" si="18"/>
        <v>0</v>
      </c>
      <c r="M232" s="5"/>
      <c r="N232" s="38" t="s">
        <v>63</v>
      </c>
      <c r="O232" s="81">
        <v>0</v>
      </c>
      <c r="P232" s="82">
        <f t="shared" si="19"/>
        <v>0</v>
      </c>
      <c r="V232" s="155"/>
      <c r="W232" s="141"/>
      <c r="X232" s="141"/>
    </row>
    <row r="233" spans="2:24" x14ac:dyDescent="0.25">
      <c r="B233" s="122">
        <v>232</v>
      </c>
      <c r="D233" s="1"/>
      <c r="E233" s="139" t="s">
        <v>253</v>
      </c>
      <c r="F233" s="81">
        <v>20000000</v>
      </c>
      <c r="G233" s="140">
        <f t="shared" si="18"/>
        <v>0</v>
      </c>
      <c r="M233" s="5"/>
      <c r="N233" s="38" t="s">
        <v>64</v>
      </c>
      <c r="O233" s="81">
        <v>0</v>
      </c>
      <c r="P233" s="82">
        <f t="shared" si="19"/>
        <v>0</v>
      </c>
      <c r="V233" s="155"/>
      <c r="W233" s="141"/>
      <c r="X233" s="141"/>
    </row>
    <row r="234" spans="2:24" x14ac:dyDescent="0.25">
      <c r="B234" s="122">
        <v>233</v>
      </c>
      <c r="D234" s="1"/>
      <c r="E234" s="139" t="s">
        <v>254</v>
      </c>
      <c r="F234" s="81">
        <v>20000000</v>
      </c>
      <c r="G234" s="140">
        <f t="shared" si="18"/>
        <v>0</v>
      </c>
      <c r="M234" s="5"/>
      <c r="N234" s="38" t="s">
        <v>66</v>
      </c>
      <c r="O234" s="81">
        <v>0</v>
      </c>
      <c r="P234" s="82">
        <f t="shared" si="19"/>
        <v>0</v>
      </c>
      <c r="V234" s="155"/>
      <c r="W234" s="141"/>
      <c r="X234" s="141"/>
    </row>
    <row r="235" spans="2:24" x14ac:dyDescent="0.25">
      <c r="B235" s="122">
        <v>234</v>
      </c>
      <c r="D235" s="1"/>
      <c r="E235" s="139" t="s">
        <v>255</v>
      </c>
      <c r="F235" s="81">
        <v>20000000</v>
      </c>
      <c r="G235" s="140">
        <f t="shared" si="18"/>
        <v>0</v>
      </c>
      <c r="M235" s="5"/>
      <c r="N235" s="38" t="s">
        <v>67</v>
      </c>
      <c r="O235" s="81">
        <v>0</v>
      </c>
      <c r="P235" s="82">
        <f t="shared" si="19"/>
        <v>0</v>
      </c>
      <c r="V235" s="155"/>
      <c r="W235" s="141"/>
      <c r="X235" s="141"/>
    </row>
    <row r="236" spans="2:24" x14ac:dyDescent="0.25">
      <c r="B236" s="122">
        <v>235</v>
      </c>
      <c r="D236" s="1"/>
      <c r="E236" s="139" t="s">
        <v>256</v>
      </c>
      <c r="F236" s="81">
        <v>20000000</v>
      </c>
      <c r="G236" s="140">
        <f t="shared" si="18"/>
        <v>0</v>
      </c>
      <c r="M236" s="5"/>
      <c r="N236" s="38" t="s">
        <v>68</v>
      </c>
      <c r="O236" s="81">
        <v>0</v>
      </c>
      <c r="P236" s="82">
        <f t="shared" si="19"/>
        <v>0</v>
      </c>
      <c r="V236" s="155"/>
      <c r="W236" s="141"/>
      <c r="X236" s="141"/>
    </row>
    <row r="237" spans="2:24" x14ac:dyDescent="0.25">
      <c r="B237" s="122">
        <v>236</v>
      </c>
      <c r="D237" s="1"/>
      <c r="E237" s="139" t="s">
        <v>257</v>
      </c>
      <c r="F237" s="81">
        <v>20000000</v>
      </c>
      <c r="G237" s="140">
        <f t="shared" si="18"/>
        <v>0</v>
      </c>
      <c r="M237" s="5"/>
      <c r="N237" s="38" t="s">
        <v>65</v>
      </c>
      <c r="O237" s="81">
        <v>0</v>
      </c>
      <c r="P237" s="82">
        <f t="shared" si="19"/>
        <v>0</v>
      </c>
      <c r="V237" s="155"/>
      <c r="W237" s="141"/>
      <c r="X237" s="141"/>
    </row>
    <row r="238" spans="2:24" x14ac:dyDescent="0.25">
      <c r="B238" s="122">
        <v>237</v>
      </c>
      <c r="D238" s="1"/>
      <c r="E238" s="139" t="s">
        <v>258</v>
      </c>
      <c r="F238" s="81">
        <v>20000000</v>
      </c>
      <c r="G238" s="140">
        <f t="shared" si="18"/>
        <v>0</v>
      </c>
      <c r="M238" s="5"/>
      <c r="N238" s="38" t="s">
        <v>60</v>
      </c>
      <c r="O238" s="81">
        <v>0</v>
      </c>
      <c r="P238" s="82">
        <f t="shared" si="19"/>
        <v>0</v>
      </c>
      <c r="V238" s="155"/>
      <c r="W238" s="141"/>
      <c r="X238" s="141"/>
    </row>
    <row r="239" spans="2:24" x14ac:dyDescent="0.25">
      <c r="B239" s="122">
        <v>238</v>
      </c>
      <c r="D239" s="1"/>
      <c r="E239" s="139" t="s">
        <v>259</v>
      </c>
      <c r="F239" s="81">
        <v>20000000</v>
      </c>
      <c r="G239" s="140">
        <f t="shared" si="18"/>
        <v>0</v>
      </c>
      <c r="M239" s="5"/>
      <c r="N239" s="38" t="s">
        <v>71</v>
      </c>
      <c r="O239" s="81">
        <v>0</v>
      </c>
      <c r="P239" s="82">
        <f t="shared" si="19"/>
        <v>0</v>
      </c>
      <c r="V239" s="155"/>
      <c r="W239" s="141"/>
      <c r="X239" s="141"/>
    </row>
    <row r="240" spans="2:24" x14ac:dyDescent="0.25">
      <c r="B240" s="122">
        <v>239</v>
      </c>
      <c r="D240" s="1"/>
      <c r="E240" s="41" t="s">
        <v>260</v>
      </c>
      <c r="F240" s="65">
        <f>SUM(F241:F243)</f>
        <v>60000000</v>
      </c>
      <c r="G240" s="138">
        <f>SUM(G241:G243)</f>
        <v>0</v>
      </c>
      <c r="M240" s="5"/>
      <c r="N240" s="41" t="s">
        <v>73</v>
      </c>
      <c r="O240" s="65">
        <f>SUM(O241:O243)</f>
        <v>1200000000</v>
      </c>
      <c r="P240" s="50">
        <f>SUM(P241:P243)</f>
        <v>0</v>
      </c>
      <c r="V240" s="154"/>
      <c r="W240" s="141"/>
      <c r="X240" s="141"/>
    </row>
    <row r="241" spans="2:24" x14ac:dyDescent="0.25">
      <c r="B241" s="122">
        <v>240</v>
      </c>
      <c r="D241" s="1"/>
      <c r="E241" s="139" t="s">
        <v>74</v>
      </c>
      <c r="F241" s="81">
        <v>20000000</v>
      </c>
      <c r="G241" s="140">
        <f>IF(($C$60=0),0,(F241/$C$60))</f>
        <v>0</v>
      </c>
      <c r="M241" s="5"/>
      <c r="N241" s="38" t="s">
        <v>74</v>
      </c>
      <c r="O241" s="81">
        <v>100000000</v>
      </c>
      <c r="P241" s="82">
        <f>IF(($C$61=0),0,(O241/$C$61))</f>
        <v>0</v>
      </c>
      <c r="V241" s="155"/>
      <c r="W241" s="141"/>
      <c r="X241" s="141"/>
    </row>
    <row r="242" spans="2:24" x14ac:dyDescent="0.25">
      <c r="B242" s="122">
        <v>241</v>
      </c>
      <c r="D242" s="1"/>
      <c r="E242" s="139" t="s">
        <v>75</v>
      </c>
      <c r="F242" s="81">
        <v>20000000</v>
      </c>
      <c r="G242" s="140">
        <f t="shared" ref="G242:G245" si="20">IF(($C$60=0),0,(F242/$C$60))</f>
        <v>0</v>
      </c>
      <c r="M242" s="5"/>
      <c r="N242" s="38" t="s">
        <v>75</v>
      </c>
      <c r="O242" s="81">
        <v>100000000</v>
      </c>
      <c r="P242" s="82">
        <f t="shared" ref="P242:P245" si="21">IF(($C$61=0),0,(O242/$C$61))</f>
        <v>0</v>
      </c>
      <c r="V242" s="155"/>
      <c r="W242" s="141"/>
      <c r="X242" s="141"/>
    </row>
    <row r="243" spans="2:24" x14ac:dyDescent="0.25">
      <c r="B243" s="122">
        <v>242</v>
      </c>
      <c r="D243" s="1"/>
      <c r="E243" s="139" t="s">
        <v>261</v>
      </c>
      <c r="F243" s="81">
        <v>20000000</v>
      </c>
      <c r="G243" s="140">
        <f t="shared" si="20"/>
        <v>0</v>
      </c>
      <c r="M243" s="5"/>
      <c r="N243" s="38" t="s">
        <v>76</v>
      </c>
      <c r="O243" s="81">
        <v>1000000000</v>
      </c>
      <c r="P243" s="82">
        <f t="shared" si="21"/>
        <v>0</v>
      </c>
      <c r="V243" s="155"/>
      <c r="W243" s="141"/>
      <c r="X243" s="141"/>
    </row>
    <row r="244" spans="2:24" x14ac:dyDescent="0.25">
      <c r="B244" s="122">
        <v>243</v>
      </c>
      <c r="D244" s="1"/>
      <c r="E244" s="41" t="s">
        <v>262</v>
      </c>
      <c r="F244" s="65">
        <v>20000000</v>
      </c>
      <c r="G244" s="138">
        <f t="shared" si="20"/>
        <v>0</v>
      </c>
      <c r="M244" s="5"/>
      <c r="N244" s="41" t="s">
        <v>77</v>
      </c>
      <c r="O244" s="65">
        <v>100000000</v>
      </c>
      <c r="P244" s="50">
        <f t="shared" si="21"/>
        <v>0</v>
      </c>
      <c r="V244" s="154"/>
      <c r="W244" s="141"/>
      <c r="X244" s="141"/>
    </row>
    <row r="245" spans="2:24" x14ac:dyDescent="0.25">
      <c r="B245" s="122">
        <v>244</v>
      </c>
      <c r="D245" s="1"/>
      <c r="E245" s="41" t="s">
        <v>263</v>
      </c>
      <c r="F245" s="65">
        <v>20000000</v>
      </c>
      <c r="G245" s="138">
        <f t="shared" si="20"/>
        <v>0</v>
      </c>
      <c r="M245" s="5"/>
      <c r="N245" s="41" t="s">
        <v>78</v>
      </c>
      <c r="O245" s="65">
        <v>100000000</v>
      </c>
      <c r="P245" s="50">
        <f t="shared" si="21"/>
        <v>0</v>
      </c>
      <c r="V245" s="154"/>
      <c r="W245" s="141"/>
      <c r="X245" s="141"/>
    </row>
    <row r="246" spans="2:24" x14ac:dyDescent="0.25">
      <c r="D246" s="1"/>
      <c r="E246" s="39" t="s">
        <v>224</v>
      </c>
      <c r="F246" s="66">
        <f>F211+F240+F244+F245</f>
        <v>660000000</v>
      </c>
      <c r="G246" s="60">
        <f>G211+G240+G244+G245</f>
        <v>0</v>
      </c>
      <c r="N246" s="39" t="s">
        <v>30</v>
      </c>
      <c r="O246" s="66">
        <f>O211+O240+O244+O245</f>
        <v>2900000000</v>
      </c>
      <c r="P246" s="47">
        <f>P211+P240+P244+P245</f>
        <v>0</v>
      </c>
      <c r="V246" s="154"/>
      <c r="W246" s="141"/>
      <c r="X246" s="141"/>
    </row>
    <row r="247" spans="2:24" x14ac:dyDescent="0.25">
      <c r="V247" s="141"/>
      <c r="W247" s="141"/>
      <c r="X247" s="141"/>
    </row>
    <row r="248" spans="2:24" x14ac:dyDescent="0.25">
      <c r="T248" s="141"/>
      <c r="U248" s="141"/>
      <c r="V248" s="141"/>
      <c r="W248" s="141"/>
      <c r="X248" s="141"/>
    </row>
  </sheetData>
  <mergeCells count="70">
    <mergeCell ref="E146:J146"/>
    <mergeCell ref="E147:J147"/>
    <mergeCell ref="E148:J148"/>
    <mergeCell ref="E128:F128"/>
    <mergeCell ref="J128:K128"/>
    <mergeCell ref="E129:F129"/>
    <mergeCell ref="J129:K129"/>
    <mergeCell ref="J133:K133"/>
    <mergeCell ref="E125:F125"/>
    <mergeCell ref="J125:K125"/>
    <mergeCell ref="E126:F126"/>
    <mergeCell ref="J126:K126"/>
    <mergeCell ref="E127:F127"/>
    <mergeCell ref="J127:K127"/>
    <mergeCell ref="E122:F122"/>
    <mergeCell ref="J122:K122"/>
    <mergeCell ref="E123:F123"/>
    <mergeCell ref="J123:K123"/>
    <mergeCell ref="E124:F124"/>
    <mergeCell ref="J124:K124"/>
    <mergeCell ref="J114:K114"/>
    <mergeCell ref="J115:K115"/>
    <mergeCell ref="J116:K116"/>
    <mergeCell ref="J117:K117"/>
    <mergeCell ref="E121:F121"/>
    <mergeCell ref="J121:K121"/>
    <mergeCell ref="J109:K109"/>
    <mergeCell ref="J110:K110"/>
    <mergeCell ref="J111:K111"/>
    <mergeCell ref="J112:K112"/>
    <mergeCell ref="J113:K113"/>
    <mergeCell ref="E2:G2"/>
    <mergeCell ref="J2:L2"/>
    <mergeCell ref="J106:K106"/>
    <mergeCell ref="J107:K107"/>
    <mergeCell ref="J108:K108"/>
    <mergeCell ref="S106:T106"/>
    <mergeCell ref="S107:T107"/>
    <mergeCell ref="S108:T108"/>
    <mergeCell ref="S109:T109"/>
    <mergeCell ref="S110:T110"/>
    <mergeCell ref="S111:T111"/>
    <mergeCell ref="S112:T112"/>
    <mergeCell ref="S113:T113"/>
    <mergeCell ref="S114:T114"/>
    <mergeCell ref="S115:T115"/>
    <mergeCell ref="S116:T116"/>
    <mergeCell ref="S117:T117"/>
    <mergeCell ref="N121:O121"/>
    <mergeCell ref="S121:T121"/>
    <mergeCell ref="N122:O122"/>
    <mergeCell ref="S122:T122"/>
    <mergeCell ref="N123:O123"/>
    <mergeCell ref="S123:T123"/>
    <mergeCell ref="N124:O124"/>
    <mergeCell ref="S124:T124"/>
    <mergeCell ref="N125:O125"/>
    <mergeCell ref="S125:T125"/>
    <mergeCell ref="N126:O126"/>
    <mergeCell ref="S126:T126"/>
    <mergeCell ref="N127:O127"/>
    <mergeCell ref="S127:T127"/>
    <mergeCell ref="N128:O128"/>
    <mergeCell ref="S128:T128"/>
    <mergeCell ref="N148:S148"/>
    <mergeCell ref="N129:O129"/>
    <mergeCell ref="S129:T129"/>
    <mergeCell ref="S133:T133"/>
    <mergeCell ref="N146:S146"/>
    <mergeCell ref="N147:S14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12</vt:i4>
      </vt:variant>
    </vt:vector>
  </HeadingPairs>
  <TitlesOfParts>
    <vt:vector size="16" baseType="lpstr">
      <vt:lpstr>Overview</vt:lpstr>
      <vt:lpstr>Primärdeckung</vt:lpstr>
      <vt:lpstr>Ersatzdeckung</vt:lpstr>
      <vt:lpstr>Language</vt:lpstr>
      <vt:lpstr>ANZAHL_ASSETS</vt:lpstr>
      <vt:lpstr>ANZAHL_EMISSIONEN</vt:lpstr>
      <vt:lpstr>ANZAHL_SCHULDNER</vt:lpstr>
      <vt:lpstr>Ersatzdeckung!Druckbereich</vt:lpstr>
      <vt:lpstr>Overview!Druckbereich</vt:lpstr>
      <vt:lpstr>Primärdeckung!Druckbereich</vt:lpstr>
      <vt:lpstr>GESAMTBETRAG_DECKUNG</vt:lpstr>
      <vt:lpstr>GESAMTBETRAG_EMISSIONEN</vt:lpstr>
      <vt:lpstr>Versions_L</vt:lpstr>
      <vt:lpstr>x</vt:lpstr>
      <vt:lpstr>xx</vt:lpstr>
      <vt:lpstr>xxx</vt:lpstr>
    </vt:vector>
  </TitlesOfParts>
  <Company>Raiffeisen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KAPELLER</dc:creator>
  <cp:lastModifiedBy>Pabisch Herbert</cp:lastModifiedBy>
  <cp:lastPrinted>2018-07-10T08:37:34Z</cp:lastPrinted>
  <dcterms:created xsi:type="dcterms:W3CDTF">2013-10-29T11:27:30Z</dcterms:created>
  <dcterms:modified xsi:type="dcterms:W3CDTF">2020-04-17T15:30:33Z</dcterms:modified>
</cp:coreProperties>
</file>