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9-09\xlsx\"/>
    </mc:Choice>
  </mc:AlternateContent>
  <xr:revisionPtr revIDLastSave="0" documentId="8_{88CD0E49-AFE3-4B98-99D1-4ADFACB3EA36}" xr6:coauthVersionLast="40" xr6:coauthVersionMax="40" xr10:uidLastSave="{00000000-0000-0000-0000-000000000000}"/>
  <bookViews>
    <workbookView xWindow="0" yWindow="0" windowWidth="25200" windowHeight="12470" xr2:uid="{00000000-000D-0000-FFFF-FFFF00000000}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2">Ersatzdeckung!$A$1:$E$63</definedName>
    <definedName name="_xlnm.Print_Area" localSheetId="0">Overview!$A$1:$E$33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26" i="3"/>
  <c r="C23" i="3"/>
  <c r="D18" i="3" s="1"/>
  <c r="D15" i="3"/>
  <c r="C15" i="3"/>
  <c r="D8" i="3"/>
  <c r="D9" i="3" s="1"/>
  <c r="H28" i="2"/>
  <c r="D28" i="2"/>
  <c r="D9" i="2"/>
  <c r="D6" i="2"/>
  <c r="C9" i="2"/>
  <c r="C6" i="2"/>
  <c r="D19" i="3" l="1"/>
  <c r="D21" i="3"/>
  <c r="D20" i="3"/>
  <c r="D22" i="3"/>
  <c r="C14" i="2"/>
  <c r="D14" i="2"/>
  <c r="C61" i="3"/>
  <c r="D33" i="3" s="1"/>
  <c r="D43" i="3"/>
  <c r="D59" i="3"/>
  <c r="D37" i="3"/>
  <c r="H149" i="2"/>
  <c r="D149" i="2"/>
  <c r="D23" i="3" l="1"/>
  <c r="D27" i="3"/>
  <c r="D50" i="3"/>
  <c r="D39" i="3"/>
  <c r="D54" i="3"/>
  <c r="D46" i="3"/>
  <c r="D52" i="3"/>
  <c r="D48" i="3"/>
  <c r="D40" i="3"/>
  <c r="D29" i="3"/>
  <c r="D36" i="3"/>
  <c r="D35" i="3"/>
  <c r="D28" i="3"/>
  <c r="D60" i="3"/>
  <c r="D31" i="3"/>
  <c r="D49" i="3"/>
  <c r="D38" i="3"/>
  <c r="D47" i="3"/>
  <c r="D41" i="3"/>
  <c r="D42" i="3"/>
  <c r="D30" i="3"/>
  <c r="D44" i="3"/>
  <c r="D45" i="3"/>
  <c r="D34" i="3"/>
  <c r="D32" i="3"/>
  <c r="D51" i="3"/>
  <c r="D53" i="3"/>
  <c r="G123" i="2"/>
  <c r="H122" i="2" s="1"/>
  <c r="C123" i="2"/>
  <c r="D122" i="2" s="1"/>
  <c r="C107" i="2"/>
  <c r="D105" i="2" s="1"/>
  <c r="F95" i="2"/>
  <c r="C83" i="2"/>
  <c r="F82" i="2" s="1"/>
  <c r="C34" i="2"/>
  <c r="C69" i="2"/>
  <c r="G82" i="2" s="1"/>
  <c r="D26" i="3" l="1"/>
  <c r="H118" i="2"/>
  <c r="H119" i="2"/>
  <c r="D118" i="2"/>
  <c r="D119" i="2"/>
  <c r="D120" i="2"/>
  <c r="D104" i="2"/>
  <c r="D102" i="2"/>
  <c r="D106" i="2"/>
  <c r="D103" i="2"/>
  <c r="F73" i="2"/>
  <c r="F78" i="2"/>
  <c r="F79" i="2"/>
  <c r="F76" i="2"/>
  <c r="F80" i="2"/>
  <c r="F74" i="2"/>
  <c r="F75" i="2"/>
  <c r="F77" i="2"/>
  <c r="F81" i="2"/>
  <c r="D53" i="2"/>
  <c r="D38" i="2"/>
  <c r="D47" i="2"/>
  <c r="D66" i="2"/>
  <c r="D50" i="2"/>
  <c r="D51" i="2"/>
  <c r="D35" i="2"/>
  <c r="D55" i="2"/>
  <c r="D57" i="2"/>
  <c r="G76" i="2"/>
  <c r="D52" i="2"/>
  <c r="D42" i="2"/>
  <c r="G80" i="2"/>
  <c r="D48" i="2"/>
  <c r="D67" i="2"/>
  <c r="G77" i="2"/>
  <c r="D59" i="2"/>
  <c r="D65" i="2"/>
  <c r="D49" i="2"/>
  <c r="D68" i="2"/>
  <c r="D36" i="2"/>
  <c r="G78" i="2"/>
  <c r="D39" i="2"/>
  <c r="D40" i="2"/>
  <c r="G79" i="2"/>
  <c r="D41" i="2"/>
  <c r="D43" i="2"/>
  <c r="D44" i="2"/>
  <c r="G73" i="2"/>
  <c r="G81" i="2"/>
  <c r="D64" i="2"/>
  <c r="D60" i="2"/>
  <c r="D45" i="2"/>
  <c r="D61" i="2"/>
  <c r="G75" i="2"/>
  <c r="D37" i="2"/>
  <c r="D54" i="2"/>
  <c r="D56" i="2"/>
  <c r="D58" i="2"/>
  <c r="D46" i="2"/>
  <c r="D62" i="2"/>
  <c r="G74" i="2"/>
  <c r="H120" i="2"/>
  <c r="H121" i="2"/>
  <c r="D121" i="2"/>
  <c r="G90" i="2"/>
  <c r="G94" i="2"/>
  <c r="G92" i="2"/>
  <c r="G93" i="2"/>
  <c r="G91" i="2"/>
  <c r="G88" i="2"/>
  <c r="G89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F83" i="2" l="1"/>
  <c r="D123" i="2"/>
  <c r="D63" i="2"/>
  <c r="H123" i="2"/>
  <c r="D107" i="2"/>
  <c r="D34" i="2"/>
  <c r="D69" i="2" s="1"/>
  <c r="G83" i="2"/>
  <c r="G95" i="2"/>
  <c r="D58" i="3"/>
  <c r="D57" i="3"/>
  <c r="D56" i="3"/>
  <c r="D55" i="3" l="1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2" i="1"/>
  <c r="C21" i="1"/>
  <c r="C20" i="1"/>
  <c r="C13" i="1"/>
  <c r="C12" i="1"/>
  <c r="G103" i="5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<sst xmlns="http://schemas.openxmlformats.org/spreadsheetml/2006/main" count="635" uniqueCount="320">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</sst>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0.0%"/>
    <numFmt numFmtId="170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4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7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0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6" fontId="1" fillId="0" borderId="11" xfId="2" applyNumberFormat="1" applyFont="1" applyFill="1" applyBorder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9" fontId="2" fillId="4" borderId="12" xfId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465158268.70999998</c:v>
                </c:pt>
                <c:pt idx="1">
                  <c:v>991696841.97000003</c:v>
                </c:pt>
                <c:pt idx="2">
                  <c:v>287797113.26999998</c:v>
                </c:pt>
                <c:pt idx="3">
                  <c:v>1229330197.6983018</c:v>
                </c:pt>
                <c:pt idx="4">
                  <c:v>1232359361.9329631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778647857.6028055</c:v>
                </c:pt>
                <c:pt idx="1">
                  <c:v>287757976.18298239</c:v>
                </c:pt>
                <c:pt idx="2">
                  <c:v>247092688.66999999</c:v>
                </c:pt>
                <c:pt idx="3">
                  <c:v>364280863.69999999</c:v>
                </c:pt>
                <c:pt idx="4">
                  <c:v>589734848.48178756</c:v>
                </c:pt>
                <c:pt idx="5">
                  <c:v>1938827548.9436896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103464132.7</c:v>
                </c:pt>
                <c:pt idx="1">
                  <c:v>216257170.39178759</c:v>
                </c:pt>
                <c:pt idx="2">
                  <c:v>213322265.49900341</c:v>
                </c:pt>
                <c:pt idx="3">
                  <c:v>658128436.74830186</c:v>
                </c:pt>
                <c:pt idx="4">
                  <c:v>3015169778.2421722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25000000</c:v>
                </c:pt>
                <c:pt idx="1">
                  <c:v>1119006666.46</c:v>
                </c:pt>
                <c:pt idx="2">
                  <c:v>583150000</c:v>
                </c:pt>
                <c:pt idx="3">
                  <c:v>1555000000</c:v>
                </c:pt>
                <c:pt idx="4">
                  <c:v>488144003.11000001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465158268.70999998</c:v>
                </c:pt>
                <c:pt idx="1">
                  <c:v>991696841.97000003</c:v>
                </c:pt>
                <c:pt idx="2">
                  <c:v>287797113.26999998</c:v>
                </c:pt>
                <c:pt idx="3">
                  <c:v>1229330197.6983018</c:v>
                </c:pt>
                <c:pt idx="4">
                  <c:v>1232359361.9329631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778647857.6028055</c:v>
                </c:pt>
                <c:pt idx="1">
                  <c:v>287757976.18298239</c:v>
                </c:pt>
                <c:pt idx="2">
                  <c:v>247092688.66999999</c:v>
                </c:pt>
                <c:pt idx="3">
                  <c:v>364280863.69999999</c:v>
                </c:pt>
                <c:pt idx="4">
                  <c:v>589734848.48178756</c:v>
                </c:pt>
                <c:pt idx="5">
                  <c:v>1938827548.9436896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103464132.7</c:v>
                </c:pt>
                <c:pt idx="1">
                  <c:v>216257170.39178759</c:v>
                </c:pt>
                <c:pt idx="2">
                  <c:v>213322265.49900341</c:v>
                </c:pt>
                <c:pt idx="3">
                  <c:v>658128436.74830186</c:v>
                </c:pt>
                <c:pt idx="4">
                  <c:v>3015169778.2421722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25000000</c:v>
                </c:pt>
                <c:pt idx="1">
                  <c:v>1119006666.46</c:v>
                </c:pt>
                <c:pt idx="2">
                  <c:v>583150000</c:v>
                </c:pt>
                <c:pt idx="3">
                  <c:v>1555000000</c:v>
                </c:pt>
                <c:pt idx="4">
                  <c:v>488144003.11000001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Funding/Deckungsst&#246;cke/Reporting%20f&#252;r%20Pfandbrief-Forum%20und%20Treuh&#228;nder/2018-09-30/Pfandbriefforumsreport%20Pfandbrief%20&#214;ffentlicher%20Pfandbrief%202018-09-30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  <cell r="AB235">
            <v>268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 refreshError="1"/>
      <sheetData sheetId="1">
        <row r="14">
          <cell r="C14">
            <v>4363944450.3538666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workbookViewId="0">
      <selection activeCell="G20" sqref="G20"/>
    </sheetView>
  </sheetViews>
  <sheetFormatPr baseColWidth="10" defaultColWidth="9.1796875" defaultRowHeight="14.5" x14ac:dyDescent="0.35"/>
  <cols>
    <col min="1" max="1" width="4.54296875" style="80" customWidth="1"/>
    <col min="2" max="2" width="78.7265625" style="80" bestFit="1" customWidth="1"/>
    <col min="3" max="3" width="12.54296875" style="80" customWidth="1"/>
    <col min="4" max="4" width="12" style="80" customWidth="1"/>
    <col min="5" max="5" width="12.54296875" style="80" customWidth="1"/>
    <col min="6" max="6" width="10.81640625" style="141" customWidth="1"/>
    <col min="7" max="16384" width="9.1796875" style="80"/>
  </cols>
  <sheetData>
    <row r="1" spans="1:6" s="85" customFormat="1" ht="36" customHeight="1" thickBot="1" x14ac:dyDescent="0.4">
      <c r="A1" s="84" t="s">
        <v>208</v>
      </c>
      <c r="B1" s="157" t="s">
        <v>0</v>
      </c>
      <c r="C1" s="204" t="s">
        <v>315</v>
      </c>
      <c r="D1" s="204"/>
      <c r="E1" s="204"/>
      <c r="F1" s="161"/>
    </row>
    <row r="2" spans="1:6" x14ac:dyDescent="0.35">
      <c r="B2" s="80" t="str">
        <f>INDEX(Language!D2:M33,2,IF(A1="EN",1,6))</f>
        <v>Report Date</v>
      </c>
      <c r="D2" s="86">
        <v>43738</v>
      </c>
    </row>
    <row r="3" spans="1:6" x14ac:dyDescent="0.35">
      <c r="B3" s="80" t="str">
        <f>INDEX(Language!D2:M33,3,IF(A1="EN",1,6))</f>
        <v>Report Currency</v>
      </c>
      <c r="D3" s="87" t="s">
        <v>113</v>
      </c>
    </row>
    <row r="4" spans="1:6" x14ac:dyDescent="0.35">
      <c r="B4" s="88"/>
      <c r="D4" s="87"/>
    </row>
    <row r="6" spans="1:6" s="90" customFormat="1" ht="16" thickBot="1" x14ac:dyDescent="0.4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35"/>
    <row r="8" spans="1:6" ht="15" thickBot="1" x14ac:dyDescent="0.4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35"/>
    <row r="10" spans="1:6" ht="15.75" customHeight="1" x14ac:dyDescent="0.3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35">
      <c r="B11" s="94" t="str">
        <f>INDEX(Language!D2:M33,11,IF(A1="EN",1,6))</f>
        <v>Share of ECB eligible cover assets (in % of total cover pool)</v>
      </c>
      <c r="C11" s="95"/>
      <c r="D11" s="96">
        <v>9.7400395217858191E-2</v>
      </c>
      <c r="E11" s="94"/>
      <c r="F11" s="163"/>
    </row>
    <row r="12" spans="1:6" ht="16.5" customHeight="1" x14ac:dyDescent="0.3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99">
        <v>3770300669.5700002</v>
      </c>
      <c r="E12" s="94"/>
      <c r="F12" s="164"/>
    </row>
    <row r="13" spans="1:6" ht="16.5" customHeight="1" x14ac:dyDescent="0.3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99">
        <v>4287048648.5812645</v>
      </c>
      <c r="E13" s="94"/>
      <c r="F13" s="164"/>
    </row>
    <row r="14" spans="1:6" ht="16.5" customHeight="1" x14ac:dyDescent="0.3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3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3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6" ht="16.5" customHeight="1" x14ac:dyDescent="0.35">
      <c r="B17" s="94" t="str">
        <f>INDEX(Language!D2:M33,17,IF(A1="EN",1,6))</f>
        <v>Number of loans</v>
      </c>
      <c r="C17" s="95"/>
      <c r="D17" s="98">
        <v>49555</v>
      </c>
      <c r="E17" s="94"/>
      <c r="F17" s="151"/>
    </row>
    <row r="18" spans="2:6" ht="16.5" customHeight="1" x14ac:dyDescent="0.35">
      <c r="B18" s="94" t="str">
        <f>INDEX(Language!D2:M33,18,IF(A1="EN",1,6))</f>
        <v>Number of borrowers</v>
      </c>
      <c r="C18" s="95"/>
      <c r="D18" s="98">
        <v>44578</v>
      </c>
      <c r="E18" s="94"/>
      <c r="F18" s="151"/>
    </row>
    <row r="19" spans="2:6" ht="16.5" customHeight="1" x14ac:dyDescent="0.35">
      <c r="B19" s="94" t="str">
        <f>INDEX(Language!D2:M33,19,IF(A1="EN",1,6))</f>
        <v>Number of garantors</v>
      </c>
      <c r="C19" s="95"/>
      <c r="D19" s="98">
        <v>105</v>
      </c>
      <c r="E19" s="94"/>
      <c r="F19" s="151"/>
    </row>
    <row r="20" spans="2:6" ht="16.5" customHeight="1" x14ac:dyDescent="0.3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99">
        <v>96169.604930263013</v>
      </c>
      <c r="E20" s="94"/>
      <c r="F20" s="165"/>
    </row>
    <row r="21" spans="2:6" ht="16.5" customHeight="1" x14ac:dyDescent="0.3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99">
        <v>86510.920161058719</v>
      </c>
      <c r="E21" s="94"/>
      <c r="F21" s="165"/>
    </row>
    <row r="22" spans="2:6" ht="16.5" customHeight="1" x14ac:dyDescent="0.35">
      <c r="B22" s="94" t="str">
        <f>INDEX(Language!D2:M33,22,IF(A1="EN",1,6))</f>
        <v>Share of non-performing loans with at least 90 days past due (% of primary cover pool)</v>
      </c>
      <c r="C22" s="95"/>
      <c r="D22" s="96">
        <v>0</v>
      </c>
      <c r="E22" s="94"/>
      <c r="F22" s="163"/>
    </row>
    <row r="23" spans="2:6" ht="16.5" customHeight="1" x14ac:dyDescent="0.35">
      <c r="B23" s="94" t="str">
        <f>INDEX(Language!D2:M33,23,IF(A1="EN",1,6))</f>
        <v>Share of 10 largest loans (% of primary cover pool)</v>
      </c>
      <c r="C23" s="95"/>
      <c r="D23" s="96">
        <v>0.18889641421233055</v>
      </c>
      <c r="E23" s="94"/>
      <c r="F23" s="163"/>
    </row>
    <row r="24" spans="2:6" ht="16.5" customHeight="1" x14ac:dyDescent="0.35">
      <c r="B24" s="94" t="str">
        <f>INDEX(Language!D2:M33,24,IF(A1="EN",1,6))</f>
        <v>Share of 10 largest exposures by borrower/ garantor (% of primary cover pool)</v>
      </c>
      <c r="C24" s="95"/>
      <c r="D24" s="96">
        <v>0.53048961645385351</v>
      </c>
      <c r="E24" s="94"/>
      <c r="F24" s="163"/>
    </row>
    <row r="25" spans="2:6" ht="16.5" customHeight="1" x14ac:dyDescent="0.35">
      <c r="B25" s="94" t="str">
        <f>INDEX(Language!D2:M33,25,IF(A1="EN",1,6))</f>
        <v>Share of bullet loans (% of primary cover pool)</v>
      </c>
      <c r="C25" s="95"/>
      <c r="D25" s="96">
        <v>6.1545416454408745E-2</v>
      </c>
      <c r="E25" s="94"/>
      <c r="F25" s="163"/>
    </row>
    <row r="26" spans="2:6" ht="16.5" customHeight="1" x14ac:dyDescent="0.35">
      <c r="B26" s="100" t="str">
        <f>INDEX(Language!D2:M33,26,IF(A1="EN",1,6))</f>
        <v>Share of loans in foreign currency (% of primary cover pool)</v>
      </c>
      <c r="C26" s="95"/>
      <c r="D26" s="96">
        <v>2.0161079057409041E-2</v>
      </c>
      <c r="E26" s="94"/>
      <c r="F26" s="163"/>
    </row>
    <row r="27" spans="2:6" ht="16.5" customHeight="1" x14ac:dyDescent="0.35">
      <c r="B27" s="94" t="str">
        <f>INDEX(Language!D2:M33,27,IF(A1="EN",1,6))</f>
        <v>Share of issues in foreign currency (% of primary cover pool)</v>
      </c>
      <c r="C27" s="95"/>
      <c r="D27" s="96">
        <v>0</v>
      </c>
      <c r="E27" s="94"/>
      <c r="F27" s="163"/>
    </row>
    <row r="28" spans="2:6" ht="16.5" customHeight="1" x14ac:dyDescent="0.35">
      <c r="B28" s="94" t="str">
        <f>INDEX(Language!D2:M33,28,IF(A1="EN",1,6))</f>
        <v>Share of loans with fixed interest rate for longer than 1 year  (% of primary cover pool)</v>
      </c>
      <c r="C28" s="95"/>
      <c r="D28" s="96">
        <v>0.47621686945910985</v>
      </c>
      <c r="E28" s="94"/>
      <c r="F28" s="163"/>
    </row>
    <row r="29" spans="2:6" ht="16.5" customHeight="1" x14ac:dyDescent="0.35">
      <c r="B29" s="94" t="str">
        <f>INDEX(Language!D2:M33,29,IF(A1="EN",1,6))</f>
        <v>Nominal over-collateralisation (total cover pool / outstanding issues in %)</v>
      </c>
      <c r="C29" s="95"/>
      <c r="D29" s="96">
        <v>0.13705749867163752</v>
      </c>
      <c r="E29" s="160"/>
      <c r="F29" s="163"/>
    </row>
    <row r="30" spans="2:6" ht="16.5" customHeight="1" x14ac:dyDescent="0.35">
      <c r="B30" s="94" t="str">
        <f>INDEX(Language!D2:M33,30,IF(A1="EN",1,6))</f>
        <v>Present value over-collateralisation (PV total cover pool / PV outstanding issues in %)</v>
      </c>
      <c r="C30" s="95"/>
      <c r="D30" s="96">
        <v>0.29048246861393867</v>
      </c>
      <c r="E30" s="94"/>
      <c r="F30" s="163"/>
    </row>
    <row r="31" spans="2:6" ht="16.5" customHeight="1" x14ac:dyDescent="0.35">
      <c r="B31" s="94" t="str">
        <f>INDEX(Language!D2:M33,31,IF(A1="EN",1,6))</f>
        <v>Number of issues</v>
      </c>
      <c r="C31" s="95"/>
      <c r="D31" s="98">
        <v>60</v>
      </c>
      <c r="E31" s="94"/>
      <c r="F31" s="151"/>
    </row>
    <row r="32" spans="2:6" ht="16.5" customHeight="1" x14ac:dyDescent="0.35">
      <c r="B32" s="94" t="str">
        <f>INDEX(Language!D2:M33,32,IF(A1="EN",1,6))</f>
        <v>Average issue size</v>
      </c>
      <c r="C32" s="95" t="str">
        <f>INDEX(Language!D2:M33,32,IF(A1="EN",2,7))</f>
        <v>in mn</v>
      </c>
      <c r="D32" s="182">
        <v>62838344.492833339</v>
      </c>
      <c r="E32" s="94"/>
      <c r="F32" s="166"/>
    </row>
  </sheetData>
  <mergeCells count="1">
    <mergeCell ref="C1:E1"/>
  </mergeCells>
  <dataValidations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2"/>
  <sheetViews>
    <sheetView zoomScale="115" zoomScaleNormal="115" zoomScalePageLayoutView="85" workbookViewId="0">
      <selection activeCell="J10" sqref="J10"/>
    </sheetView>
  </sheetViews>
  <sheetFormatPr baseColWidth="10" defaultColWidth="9.1796875" defaultRowHeight="13" outlineLevelRow="1" x14ac:dyDescent="0.3"/>
  <cols>
    <col min="1" max="1" width="6" style="2" customWidth="1"/>
    <col min="2" max="2" width="22.54296875" style="2" customWidth="1"/>
    <col min="3" max="4" width="12.7265625" style="4" customWidth="1"/>
    <col min="5" max="5" width="2.453125" style="4" customWidth="1"/>
    <col min="6" max="6" width="22.7265625" style="2" customWidth="1"/>
    <col min="7" max="7" width="12.7265625" style="4" customWidth="1"/>
    <col min="8" max="8" width="13" style="4" customWidth="1"/>
    <col min="9" max="16384" width="9.1796875" style="2"/>
  </cols>
  <sheetData>
    <row r="1" spans="1:9" s="5" customFormat="1" ht="25.5" customHeight="1" thickBot="1" x14ac:dyDescent="0.4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4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4.5" x14ac:dyDescent="0.35">
      <c r="C3" s="6"/>
      <c r="D3" s="6"/>
      <c r="E3" s="6"/>
      <c r="G3" s="6"/>
      <c r="H3" s="6"/>
      <c r="I3" s="135"/>
    </row>
    <row r="4" spans="1:9" s="15" customFormat="1" x14ac:dyDescent="0.3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3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4.5" x14ac:dyDescent="0.35">
      <c r="A6" s="57" t="s">
        <v>129</v>
      </c>
      <c r="B6" s="175" t="s">
        <v>26</v>
      </c>
      <c r="C6" s="103">
        <f>SUM(C7:C8)</f>
        <v>1066405833.7857878</v>
      </c>
      <c r="D6" s="176">
        <f>SUM(D7:D8)</f>
        <v>47967</v>
      </c>
      <c r="I6" s="5"/>
    </row>
    <row r="7" spans="1:9" ht="14.5" x14ac:dyDescent="0.35">
      <c r="A7" s="57" t="s">
        <v>128</v>
      </c>
      <c r="B7" s="175" t="s">
        <v>123</v>
      </c>
      <c r="C7" s="103">
        <v>778647857.6028055</v>
      </c>
      <c r="D7" s="176">
        <v>46453</v>
      </c>
      <c r="I7" s="5"/>
    </row>
    <row r="8" spans="1:9" ht="14.5" x14ac:dyDescent="0.35">
      <c r="A8" s="57" t="s">
        <v>130</v>
      </c>
      <c r="B8" s="175" t="s">
        <v>124</v>
      </c>
      <c r="C8" s="103">
        <v>287757976.18298239</v>
      </c>
      <c r="D8" s="176">
        <v>1514</v>
      </c>
      <c r="I8" s="5"/>
    </row>
    <row r="9" spans="1:9" ht="14.5" x14ac:dyDescent="0.35">
      <c r="A9" s="57"/>
      <c r="B9" s="177" t="s">
        <v>27</v>
      </c>
      <c r="C9" s="103">
        <f>SUM(C10:C12)</f>
        <v>1201108400.8517876</v>
      </c>
      <c r="D9" s="176">
        <f>SUM(D10:D12)</f>
        <v>1486</v>
      </c>
      <c r="I9" s="5"/>
    </row>
    <row r="10" spans="1:9" ht="14.5" x14ac:dyDescent="0.35">
      <c r="A10" s="57" t="s">
        <v>131</v>
      </c>
      <c r="B10" s="177" t="s">
        <v>125</v>
      </c>
      <c r="C10" s="103">
        <v>247092688.66999999</v>
      </c>
      <c r="D10" s="176">
        <v>644</v>
      </c>
      <c r="I10" s="5"/>
    </row>
    <row r="11" spans="1:9" ht="14.5" x14ac:dyDescent="0.35">
      <c r="A11" s="57" t="s">
        <v>132</v>
      </c>
      <c r="B11" s="177" t="s">
        <v>126</v>
      </c>
      <c r="C11" s="103">
        <v>364280863.69999999</v>
      </c>
      <c r="D11" s="176">
        <v>531</v>
      </c>
      <c r="I11" s="5"/>
    </row>
    <row r="12" spans="1:9" ht="14.5" x14ac:dyDescent="0.35">
      <c r="A12" s="57" t="s">
        <v>133</v>
      </c>
      <c r="B12" s="177" t="s">
        <v>127</v>
      </c>
      <c r="C12" s="103">
        <v>589734848.48178756</v>
      </c>
      <c r="D12" s="176">
        <v>311</v>
      </c>
      <c r="I12" s="5"/>
    </row>
    <row r="13" spans="1:9" ht="14.5" x14ac:dyDescent="0.35">
      <c r="A13" s="57" t="s">
        <v>134</v>
      </c>
      <c r="B13" s="177" t="s">
        <v>29</v>
      </c>
      <c r="C13" s="103">
        <v>1938827548.9436896</v>
      </c>
      <c r="D13" s="176">
        <v>93</v>
      </c>
      <c r="I13" s="5"/>
    </row>
    <row r="14" spans="1:9" s="15" customFormat="1" ht="14.5" x14ac:dyDescent="0.35">
      <c r="A14" s="55"/>
      <c r="B14" s="54" t="str">
        <f>INDEX(Language!$D$2:$X$300,SUM(Language!AB14),IF(Overview!$A$1="EN",2,11))</f>
        <v>Total</v>
      </c>
      <c r="C14" s="180">
        <f>C6+C9+C13</f>
        <v>4206341783.5812645</v>
      </c>
      <c r="D14" s="181">
        <f>D13+D9+D6</f>
        <v>49546</v>
      </c>
      <c r="E14" s="16"/>
      <c r="G14" s="16"/>
      <c r="H14" s="16"/>
      <c r="I14" s="5"/>
    </row>
    <row r="15" spans="1:9" ht="14.5" x14ac:dyDescent="0.35">
      <c r="I15" s="5"/>
    </row>
    <row r="16" spans="1:9" s="5" customFormat="1" ht="15" thickBot="1" x14ac:dyDescent="0.4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4.5" x14ac:dyDescent="0.35">
      <c r="I17" s="5"/>
    </row>
    <row r="18" spans="1:9" s="15" customFormat="1" ht="14.5" x14ac:dyDescent="0.3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4.5" x14ac:dyDescent="0.3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4.5" x14ac:dyDescent="0.3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4.5" x14ac:dyDescent="0.35">
      <c r="I21" s="5"/>
    </row>
    <row r="22" spans="1:9" s="15" customFormat="1" ht="14.5" x14ac:dyDescent="0.3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4.5" x14ac:dyDescent="0.35">
      <c r="B23" s="102" t="s">
        <v>35</v>
      </c>
      <c r="C23" s="178"/>
      <c r="D23" s="158">
        <v>4121537394.3400002</v>
      </c>
      <c r="F23" s="7" t="str">
        <f>INDEX(Language!$D$2:$X$300,SUM(Language!AF23),IF(Overview!$A$1="EN",6,15))</f>
        <v>in EUR</v>
      </c>
      <c r="G23" s="8"/>
      <c r="H23" s="158">
        <v>3770300669.5700002</v>
      </c>
      <c r="I23" s="5"/>
    </row>
    <row r="24" spans="1:9" ht="14.5" x14ac:dyDescent="0.35">
      <c r="B24" s="102" t="s">
        <v>36</v>
      </c>
      <c r="C24" s="178"/>
      <c r="D24" s="158">
        <v>84804389.241264835</v>
      </c>
      <c r="F24" s="7" t="str">
        <f>INDEX(Language!$D$2:$X$300,SUM(Language!AF24),IF(Overview!$A$1="EN",6,15))</f>
        <v>in CHF</v>
      </c>
      <c r="G24" s="8"/>
      <c r="H24" s="158"/>
      <c r="I24" s="5"/>
    </row>
    <row r="25" spans="1:9" ht="14.5" x14ac:dyDescent="0.35">
      <c r="B25" s="102" t="s">
        <v>37</v>
      </c>
      <c r="C25" s="178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4.5" x14ac:dyDescent="0.35">
      <c r="B26" s="102" t="s">
        <v>166</v>
      </c>
      <c r="C26" s="178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4.5" x14ac:dyDescent="0.3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4.5" x14ac:dyDescent="0.35">
      <c r="B28" s="21" t="str">
        <f>INDEX(Language!$D$2:$X$300,SUM(Language!AB28),IF(Overview!$A$1="EN",2,11))</f>
        <v>Total</v>
      </c>
      <c r="C28" s="23"/>
      <c r="D28" s="179">
        <f>SUM(D23:D27)</f>
        <v>4206341783.581265</v>
      </c>
      <c r="E28" s="16"/>
      <c r="F28" s="21" t="str">
        <f>INDEX(Language!$D$2:$X$300,SUM(Language!AF28),IF(Overview!$A$1="EN",6,15))</f>
        <v>Total</v>
      </c>
      <c r="G28" s="23"/>
      <c r="H28" s="179">
        <f>SUM(H23:H27)</f>
        <v>3770300669.5700002</v>
      </c>
      <c r="I28" s="5"/>
    </row>
    <row r="29" spans="1:9" ht="14.5" x14ac:dyDescent="0.35">
      <c r="I29" s="5"/>
    </row>
    <row r="30" spans="1:9" ht="14.5" x14ac:dyDescent="0.35">
      <c r="I30" s="5"/>
    </row>
    <row r="31" spans="1:9" s="5" customFormat="1" ht="15" thickBot="1" x14ac:dyDescent="0.4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4.5" x14ac:dyDescent="0.35">
      <c r="I32" s="5"/>
    </row>
    <row r="33" spans="2:9" ht="14.5" x14ac:dyDescent="0.3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4.5" x14ac:dyDescent="0.35">
      <c r="B34" s="11" t="str">
        <f>INDEX(Language!$D$2:$X$300,SUM(Language!AB34),IF(Overview!$A$1="EN",2,11))</f>
        <v>EU member states</v>
      </c>
      <c r="C34" s="106">
        <f>SUM(C35:C62)</f>
        <v>4206341783.5812645</v>
      </c>
      <c r="D34" s="107">
        <f>SUM(D35:D62)</f>
        <v>1</v>
      </c>
      <c r="I34" s="5"/>
    </row>
    <row r="35" spans="2:9" ht="14.5" outlineLevel="1" x14ac:dyDescent="0.35">
      <c r="B35" s="7" t="str">
        <f>INDEX(Language!$D$2:$X$300,SUM(Language!AB35),IF(Overview!$A$1="EN",2,11))</f>
        <v>Austria</v>
      </c>
      <c r="C35" s="103">
        <v>4186341783.5812645</v>
      </c>
      <c r="D35" s="104">
        <f>IF(($C$69=0),0,(C35/$C$69))</f>
        <v>0.99524527462840362</v>
      </c>
      <c r="I35" s="5"/>
    </row>
    <row r="36" spans="2:9" ht="14.5" outlineLevel="1" x14ac:dyDescent="0.3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4.5" outlineLevel="1" x14ac:dyDescent="0.3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4.5" outlineLevel="1" x14ac:dyDescent="0.3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4.5" outlineLevel="1" x14ac:dyDescent="0.3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4.5" outlineLevel="1" x14ac:dyDescent="0.3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4.5" outlineLevel="1" x14ac:dyDescent="0.3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4.5" outlineLevel="1" x14ac:dyDescent="0.3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4.5" outlineLevel="1" x14ac:dyDescent="0.3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4.5" outlineLevel="1" x14ac:dyDescent="0.3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4.5" outlineLevel="1" x14ac:dyDescent="0.3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4.5" outlineLevel="1" x14ac:dyDescent="0.3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4.5" outlineLevel="1" x14ac:dyDescent="0.3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4.5" outlineLevel="1" x14ac:dyDescent="0.3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4.5" outlineLevel="1" x14ac:dyDescent="0.3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4.5" outlineLevel="1" x14ac:dyDescent="0.3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4.5" outlineLevel="1" x14ac:dyDescent="0.3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4.5" outlineLevel="1" x14ac:dyDescent="0.3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4.5" outlineLevel="1" x14ac:dyDescent="0.3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4.5" outlineLevel="1" x14ac:dyDescent="0.35">
      <c r="B54" s="7" t="str">
        <f>INDEX(Language!$D$2:$X$300,SUM(Language!AB54),IF(Overview!$A$1="EN",2,11))</f>
        <v>Poland</v>
      </c>
      <c r="C54" s="103">
        <v>20000000</v>
      </c>
      <c r="D54" s="104">
        <f t="shared" si="0"/>
        <v>4.7547253715964259E-3</v>
      </c>
      <c r="I54" s="5"/>
    </row>
    <row r="55" spans="2:9" ht="14.5" outlineLevel="1" x14ac:dyDescent="0.3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4.5" outlineLevel="1" x14ac:dyDescent="0.3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4.5" outlineLevel="1" x14ac:dyDescent="0.3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4.5" outlineLevel="1" x14ac:dyDescent="0.3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4.5" outlineLevel="1" x14ac:dyDescent="0.3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4.5" outlineLevel="1" x14ac:dyDescent="0.3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4.5" outlineLevel="1" x14ac:dyDescent="0.3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4.5" outlineLevel="1" x14ac:dyDescent="0.3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4.5" x14ac:dyDescent="0.3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4.5" outlineLevel="1" x14ac:dyDescent="0.35">
      <c r="B64" s="7" t="s">
        <v>319</v>
      </c>
      <c r="C64" s="67"/>
      <c r="D64" s="104">
        <f>IF(($C$69=0),0,(C64/$C$69))</f>
        <v>0</v>
      </c>
      <c r="I64" s="5"/>
    </row>
    <row r="65" spans="2:9" ht="14.5" outlineLevel="1" x14ac:dyDescent="0.3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4.5" outlineLevel="1" x14ac:dyDescent="0.3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4.5" x14ac:dyDescent="0.3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4.5" x14ac:dyDescent="0.3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4.5" x14ac:dyDescent="0.35">
      <c r="B69" s="12" t="str">
        <f>INDEX(Language!$D$2:$X$300,SUM(Language!AB69),IF(Overview!$A$1="EN",2,11))</f>
        <v>Total</v>
      </c>
      <c r="C69" s="171">
        <f>SUM(C35:C68)</f>
        <v>4206341783.5812645</v>
      </c>
      <c r="D69" s="172">
        <f>D34+D63+D67+D68</f>
        <v>1</v>
      </c>
      <c r="I69" s="5"/>
    </row>
    <row r="70" spans="2:9" ht="14.5" x14ac:dyDescent="0.35">
      <c r="I70" s="5"/>
    </row>
    <row r="71" spans="2:9" ht="14.5" x14ac:dyDescent="0.3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3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13" t="str">
        <f>INDEX(Language!$D$2:$X$300,SUM(Language!AG72),IF(Overview!$A$1="EN",7,16))</f>
        <v>Share in total</v>
      </c>
      <c r="H72" s="214"/>
      <c r="I72" s="5"/>
    </row>
    <row r="73" spans="2:9" ht="15" customHeight="1" x14ac:dyDescent="0.35">
      <c r="B73" s="7" t="str">
        <f>INDEX(Language!$D$2:$X$300,SUM(Language!AB73),IF(Overview!$A$1="EN",2,11))</f>
        <v>Republic of Austria</v>
      </c>
      <c r="C73" s="103"/>
      <c r="D73" s="30"/>
      <c r="E73" s="30"/>
      <c r="F73" s="185">
        <f>IF(($C$83=0),0,(C73/$C$83))</f>
        <v>0</v>
      </c>
      <c r="G73" s="211">
        <f>IF(($C$69=0),0,(C73/$C$69))</f>
        <v>0</v>
      </c>
      <c r="H73" s="212"/>
      <c r="I73" s="5"/>
    </row>
    <row r="74" spans="2:9" ht="15" customHeight="1" x14ac:dyDescent="0.35">
      <c r="B74" s="7" t="str">
        <f>INDEX(Language!$D$2:$X$300,SUM(Language!AB74),IF(Overview!$A$1="EN",2,11))</f>
        <v>Vienna</v>
      </c>
      <c r="C74" s="103">
        <v>268839117.98000002</v>
      </c>
      <c r="D74" s="30"/>
      <c r="E74" s="30"/>
      <c r="F74" s="185">
        <f t="shared" ref="F74:F81" si="1">IF(($C$83=0),0,(C74/$C$83))</f>
        <v>6.421814841644817E-2</v>
      </c>
      <c r="G74" s="211">
        <f t="shared" ref="G74:G81" si="2">IF(($C$69=0),0,(C74/$C$69))</f>
        <v>6.3912808756855552E-2</v>
      </c>
      <c r="H74" s="212"/>
      <c r="I74" s="5"/>
    </row>
    <row r="75" spans="2:9" ht="15" customHeight="1" x14ac:dyDescent="0.35">
      <c r="B75" s="7" t="str">
        <f>INDEX(Language!$D$2:$X$300,SUM(Language!AB75),IF(Overview!$A$1="EN",2,11))</f>
        <v>Lower Austria</v>
      </c>
      <c r="C75" s="103">
        <v>3739261930.6722612</v>
      </c>
      <c r="D75" s="30"/>
      <c r="E75" s="30"/>
      <c r="F75" s="185">
        <f t="shared" si="1"/>
        <v>0.89320512370431848</v>
      </c>
      <c r="G75" s="211">
        <f t="shared" si="2"/>
        <v>0.88895817864060178</v>
      </c>
      <c r="H75" s="212"/>
      <c r="I75" s="5"/>
    </row>
    <row r="76" spans="2:9" ht="15" customHeight="1" x14ac:dyDescent="0.35">
      <c r="B76" s="7" t="str">
        <f>INDEX(Language!$D$2:$X$300,SUM(Language!AB76),IF(Overview!$A$1="EN",2,11))</f>
        <v>Upper Austria</v>
      </c>
      <c r="C76" s="103">
        <v>66612371.590000004</v>
      </c>
      <c r="D76" s="30"/>
      <c r="E76" s="30"/>
      <c r="F76" s="185">
        <f t="shared" si="1"/>
        <v>1.5911833059415306E-2</v>
      </c>
      <c r="G76" s="211">
        <f t="shared" si="2"/>
        <v>1.5836176663059098E-2</v>
      </c>
      <c r="H76" s="212"/>
      <c r="I76" s="5"/>
    </row>
    <row r="77" spans="2:9" ht="15" customHeight="1" x14ac:dyDescent="0.35">
      <c r="B77" s="7" t="str">
        <f>INDEX(Language!$D$2:$X$300,SUM(Language!AB77),IF(Overview!$A$1="EN",2,11))</f>
        <v>Salzburg</v>
      </c>
      <c r="C77" s="103">
        <v>285346.36</v>
      </c>
      <c r="D77" s="30"/>
      <c r="E77" s="30"/>
      <c r="F77" s="185">
        <f t="shared" si="1"/>
        <v>6.8161266984726807E-5</v>
      </c>
      <c r="G77" s="211">
        <f t="shared" si="2"/>
        <v>6.7837178879234377E-5</v>
      </c>
      <c r="H77" s="212"/>
      <c r="I77" s="5"/>
    </row>
    <row r="78" spans="2:9" ht="15" customHeight="1" x14ac:dyDescent="0.35">
      <c r="B78" s="7" t="str">
        <f>INDEX(Language!$D$2:$X$300,SUM(Language!AB78),IF(Overview!$A$1="EN",2,11))</f>
        <v>Tyrol</v>
      </c>
      <c r="C78" s="103">
        <v>21447.53</v>
      </c>
      <c r="D78" s="30"/>
      <c r="E78" s="30"/>
      <c r="F78" s="185">
        <f t="shared" si="1"/>
        <v>5.1232152339105977E-6</v>
      </c>
      <c r="G78" s="211">
        <f t="shared" si="2"/>
        <v>5.0988557524537742E-6</v>
      </c>
      <c r="H78" s="212"/>
      <c r="I78" s="5"/>
    </row>
    <row r="79" spans="2:9" ht="15" customHeight="1" x14ac:dyDescent="0.35">
      <c r="B79" s="7" t="str">
        <f>INDEX(Language!$D$2:$X$300,SUM(Language!AB79),IF(Overview!$A$1="EN",2,11))</f>
        <v>Styria</v>
      </c>
      <c r="C79" s="103">
        <v>36828083.75</v>
      </c>
      <c r="D79" s="30"/>
      <c r="E79" s="30"/>
      <c r="F79" s="185">
        <f t="shared" si="1"/>
        <v>8.7971994772235006E-3</v>
      </c>
      <c r="G79" s="211">
        <f t="shared" si="2"/>
        <v>8.7553712096701524E-3</v>
      </c>
      <c r="H79" s="212"/>
      <c r="I79" s="5"/>
    </row>
    <row r="80" spans="2:9" ht="15" customHeight="1" x14ac:dyDescent="0.35">
      <c r="B80" s="7" t="str">
        <f>INDEX(Language!$D$2:$X$300,SUM(Language!AB80),IF(Overview!$A$1="EN",2,11))</f>
        <v>Carinthia</v>
      </c>
      <c r="C80" s="103">
        <v>41477462.640000001</v>
      </c>
      <c r="D80" s="30"/>
      <c r="E80" s="30"/>
      <c r="F80" s="185">
        <f t="shared" si="1"/>
        <v>9.9078060952102961E-3</v>
      </c>
      <c r="G80" s="211">
        <f t="shared" si="2"/>
        <v>9.8606971981925438E-3</v>
      </c>
      <c r="H80" s="212"/>
      <c r="I80" s="5"/>
    </row>
    <row r="81" spans="1:9" ht="15" customHeight="1" x14ac:dyDescent="0.35">
      <c r="B81" s="7" t="str">
        <f>INDEX(Language!$D$2:$X$300,SUM(Language!AB81),IF(Overview!$A$1="EN",2,11))</f>
        <v>Burgenland</v>
      </c>
      <c r="C81" s="103">
        <v>27812990.690000001</v>
      </c>
      <c r="D81" s="30"/>
      <c r="E81" s="30"/>
      <c r="F81" s="185">
        <f t="shared" si="1"/>
        <v>6.643745811458086E-3</v>
      </c>
      <c r="G81" s="211">
        <f t="shared" si="2"/>
        <v>6.612156624685909E-3</v>
      </c>
      <c r="H81" s="212"/>
      <c r="I81" s="5"/>
    </row>
    <row r="82" spans="1:9" ht="15" customHeight="1" x14ac:dyDescent="0.35">
      <c r="B82" s="7" t="str">
        <f>INDEX(Language!$D$2:$X$300,SUM(Language!AB82),IF(Overview!$A$1="EN",2,11))</f>
        <v>Vorarlberg</v>
      </c>
      <c r="C82" s="103">
        <v>5203032.3690034002</v>
      </c>
      <c r="D82" s="30"/>
      <c r="E82" s="30"/>
      <c r="F82" s="185">
        <f>IF(($C$83=0),0,(C82/$C$83))</f>
        <v>1.2428589537074044E-3</v>
      </c>
      <c r="G82" s="211">
        <f>IF(($C$69=0),0,(C82/$C$69))</f>
        <v>1.2369495007068961E-3</v>
      </c>
      <c r="H82" s="212"/>
      <c r="I82" s="5"/>
    </row>
    <row r="83" spans="1:9" ht="15" customHeight="1" x14ac:dyDescent="0.35">
      <c r="B83" s="12" t="str">
        <f>INDEX(Language!$D$2:$X$300,SUM(Language!AB83),IF(Overview!$A$1="EN",2,11))</f>
        <v>Total</v>
      </c>
      <c r="C83" s="171">
        <f>SUM(C73:C82)</f>
        <v>4186341783.581265</v>
      </c>
      <c r="D83" s="183"/>
      <c r="E83" s="183"/>
      <c r="F83" s="184">
        <f>SUM(F73:F82)</f>
        <v>0.99999999999999989</v>
      </c>
      <c r="G83" s="205">
        <f>SUM(G73:H82)</f>
        <v>0.99524527462840373</v>
      </c>
      <c r="H83" s="206"/>
      <c r="I83" s="5"/>
    </row>
    <row r="84" spans="1:9" ht="14.5" x14ac:dyDescent="0.35">
      <c r="I84" s="5"/>
    </row>
    <row r="85" spans="1:9" s="5" customFormat="1" ht="15" thickBot="1" x14ac:dyDescent="0.4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4.5" x14ac:dyDescent="0.35">
      <c r="I86" s="5"/>
    </row>
    <row r="87" spans="1:9" ht="15" customHeight="1" x14ac:dyDescent="0.3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09" t="str">
        <f>INDEX(Language!$D$2:$X$300,SUM(Language!AG87),IF(Overview!$A$1="EN",7,16))</f>
        <v>%</v>
      </c>
      <c r="H87" s="210"/>
      <c r="I87" s="5"/>
    </row>
    <row r="88" spans="1:9" ht="14.5" x14ac:dyDescent="0.3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103">
        <v>20000000</v>
      </c>
      <c r="G88" s="211">
        <f>IF(($F$95=0),0,(F88/$F$95))</f>
        <v>4.7547253715964277E-3</v>
      </c>
      <c r="H88" s="212"/>
      <c r="I88" s="5"/>
    </row>
    <row r="89" spans="1:9" ht="14.5" x14ac:dyDescent="0.3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103">
        <v>1407603734.6900001</v>
      </c>
      <c r="G89" s="211">
        <f t="shared" ref="G89:G94" si="3">IF(($F$95=0),0,(F89/$F$95))</f>
        <v>0.3346384595242215</v>
      </c>
      <c r="H89" s="212"/>
      <c r="I89" s="5"/>
    </row>
    <row r="90" spans="1:9" ht="14.5" x14ac:dyDescent="0.3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103">
        <v>381614579.07757539</v>
      </c>
      <c r="G90" s="211">
        <f t="shared" si="3"/>
        <v>9.0723626065561946E-2</v>
      </c>
      <c r="H90" s="212"/>
      <c r="I90" s="5"/>
    </row>
    <row r="91" spans="1:9" ht="14.5" x14ac:dyDescent="0.3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103"/>
      <c r="G91" s="211">
        <f t="shared" si="3"/>
        <v>0</v>
      </c>
      <c r="H91" s="212"/>
      <c r="I91" s="5"/>
    </row>
    <row r="92" spans="1:9" ht="14.5" x14ac:dyDescent="0.3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103">
        <v>2089531434.50618</v>
      </c>
      <c r="G92" s="211">
        <f t="shared" si="3"/>
        <v>0.49675740631974069</v>
      </c>
      <c r="H92" s="212"/>
      <c r="I92" s="5"/>
    </row>
    <row r="93" spans="1:9" ht="14.5" x14ac:dyDescent="0.3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103">
        <v>205750704.185388</v>
      </c>
      <c r="G93" s="211">
        <f t="shared" si="3"/>
        <v>4.8914404670704785E-2</v>
      </c>
      <c r="H93" s="212"/>
      <c r="I93" s="5"/>
    </row>
    <row r="94" spans="1:9" ht="14.5" x14ac:dyDescent="0.35">
      <c r="B94" s="131" t="str">
        <f>INDEX(Language!$D$2:$X$300,SUM(Language!AB94),IF(Overview!$A$1="EN",2,11))</f>
        <v>Others</v>
      </c>
      <c r="C94" s="132"/>
      <c r="D94" s="8"/>
      <c r="E94" s="8"/>
      <c r="F94" s="103">
        <v>101841331.12211899</v>
      </c>
      <c r="G94" s="211">
        <f t="shared" si="3"/>
        <v>2.4211378048174605E-2</v>
      </c>
      <c r="H94" s="212"/>
      <c r="I94" s="5"/>
    </row>
    <row r="95" spans="1:9" ht="15" customHeight="1" x14ac:dyDescent="0.3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4206341783.5812626</v>
      </c>
      <c r="G95" s="205">
        <f>SUM(G88:H94)</f>
        <v>1</v>
      </c>
      <c r="H95" s="206"/>
      <c r="I95" s="5"/>
    </row>
    <row r="96" spans="1:9" ht="14.5" x14ac:dyDescent="0.35">
      <c r="I96" s="5"/>
    </row>
    <row r="97" spans="1:9" s="5" customFormat="1" ht="15" thickBot="1" x14ac:dyDescent="0.4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4.5" x14ac:dyDescent="0.35">
      <c r="I98" s="5"/>
    </row>
    <row r="99" spans="1:9" ht="15" customHeight="1" x14ac:dyDescent="0.3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07">
        <v>6.7503168630000001</v>
      </c>
      <c r="H99" s="208"/>
      <c r="I99" s="5"/>
    </row>
    <row r="100" spans="1:9" ht="14.5" x14ac:dyDescent="0.35">
      <c r="I100" s="5"/>
    </row>
    <row r="101" spans="1:9" ht="14.5" x14ac:dyDescent="0.35">
      <c r="B101" s="167" t="s">
        <v>162</v>
      </c>
      <c r="C101" s="168" t="s">
        <v>217</v>
      </c>
      <c r="D101" s="169" t="s">
        <v>41</v>
      </c>
      <c r="I101" s="5"/>
    </row>
    <row r="102" spans="1:9" ht="14.5" x14ac:dyDescent="0.35">
      <c r="B102" s="102" t="s">
        <v>283</v>
      </c>
      <c r="C102" s="103">
        <v>465158268.70999998</v>
      </c>
      <c r="D102" s="104">
        <f>IF(($C$107=0),0,(C102/$C$107))</f>
        <v>0.11058499110216521</v>
      </c>
      <c r="F102" s="105"/>
      <c r="G102" s="79"/>
      <c r="H102" s="79"/>
      <c r="I102" s="5"/>
    </row>
    <row r="103" spans="1:9" ht="14.5" x14ac:dyDescent="0.35">
      <c r="B103" s="102" t="s">
        <v>284</v>
      </c>
      <c r="C103" s="103">
        <v>991696841.97000003</v>
      </c>
      <c r="D103" s="104">
        <f>IF(($C$107=0),0,(C103/$C$107))</f>
        <v>0.23576230677234045</v>
      </c>
      <c r="F103" s="105"/>
      <c r="G103" s="79"/>
      <c r="H103" s="79"/>
      <c r="I103" s="5"/>
    </row>
    <row r="104" spans="1:9" ht="14.5" x14ac:dyDescent="0.35">
      <c r="B104" s="102" t="s">
        <v>285</v>
      </c>
      <c r="C104" s="103">
        <v>287797113.26999998</v>
      </c>
      <c r="D104" s="104">
        <f>IF(($C$107=0),0,(C104/$C$107))</f>
        <v>6.8419811816853943E-2</v>
      </c>
      <c r="F104" s="105"/>
      <c r="G104" s="79"/>
      <c r="H104" s="79"/>
      <c r="I104" s="5"/>
    </row>
    <row r="105" spans="1:9" ht="14.5" x14ac:dyDescent="0.35">
      <c r="B105" s="102" t="s">
        <v>286</v>
      </c>
      <c r="C105" s="103">
        <v>1229330197.6983018</v>
      </c>
      <c r="D105" s="104">
        <f>IF(($C$107=0),0,(C105/$C$107))</f>
        <v>0.29225637405328819</v>
      </c>
      <c r="F105" s="105"/>
      <c r="G105" s="79"/>
      <c r="H105" s="79"/>
      <c r="I105" s="5"/>
    </row>
    <row r="106" spans="1:9" ht="14.5" x14ac:dyDescent="0.35">
      <c r="B106" s="102" t="s">
        <v>287</v>
      </c>
      <c r="C106" s="103">
        <v>1232359361.9329631</v>
      </c>
      <c r="D106" s="104">
        <f>IF(($C$107=0),0,(C106/$C$107))</f>
        <v>0.29297651625535204</v>
      </c>
      <c r="F106" s="105"/>
      <c r="G106" s="79"/>
      <c r="H106" s="79"/>
      <c r="I106" s="5"/>
    </row>
    <row r="107" spans="1:9" ht="14.5" x14ac:dyDescent="0.35">
      <c r="B107" s="170" t="s">
        <v>224</v>
      </c>
      <c r="C107" s="171">
        <f>SUM(C102:C106)</f>
        <v>4206341783.5812654</v>
      </c>
      <c r="D107" s="172">
        <f>SUM(D102:D106)</f>
        <v>0.99999999999999989</v>
      </c>
      <c r="F107" s="105"/>
      <c r="G107" s="79"/>
      <c r="H107" s="79"/>
      <c r="I107" s="5"/>
    </row>
    <row r="108" spans="1:9" ht="14.5" x14ac:dyDescent="0.35">
      <c r="I108" s="5"/>
    </row>
    <row r="109" spans="1:9" s="5" customFormat="1" ht="15" thickBot="1" x14ac:dyDescent="0.4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4.5" x14ac:dyDescent="0.35">
      <c r="I110" s="5"/>
    </row>
    <row r="111" spans="1:9" ht="14.5" x14ac:dyDescent="0.3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4.5" x14ac:dyDescent="0.35">
      <c r="B112" s="217" t="str">
        <f>INDEX(Language!$D$2:$X$300,SUM(Language!AB112),IF(Overview!$A$1="EN",2,11))</f>
        <v>WA residual life (incl. contractural amortisation)</v>
      </c>
      <c r="C112" s="218"/>
      <c r="D112" s="218"/>
      <c r="E112" s="132"/>
      <c r="F112" s="132"/>
      <c r="G112" s="132"/>
      <c r="H112" s="114">
        <v>9.9177716700000005</v>
      </c>
      <c r="I112" s="5"/>
    </row>
    <row r="113" spans="2:9" ht="14.5" x14ac:dyDescent="0.35">
      <c r="B113" s="215" t="str">
        <f>INDEX(Language!$D$2:$X$300,SUM(Language!AB113),IF(Overview!$A$1="EN",2,11))</f>
        <v>WA residual life (final legal maturity)</v>
      </c>
      <c r="C113" s="216"/>
      <c r="D113" s="216"/>
      <c r="E113" s="132"/>
      <c r="F113" s="132"/>
      <c r="G113" s="132"/>
      <c r="H113" s="114">
        <v>16.031387519999999</v>
      </c>
      <c r="I113" s="5"/>
    </row>
    <row r="114" spans="2:9" ht="15" customHeight="1" x14ac:dyDescent="0.35">
      <c r="B114" s="217" t="str">
        <f>INDEX(Language!$D$2:$X$300,SUM(Language!AB114),IF(Overview!$A$1="EN",2,11))</f>
        <v>WA residual life of issues (final legal maturity)</v>
      </c>
      <c r="C114" s="218"/>
      <c r="D114" s="218"/>
      <c r="E114" s="130"/>
      <c r="F114" s="130"/>
      <c r="G114" s="130"/>
      <c r="H114" s="114">
        <v>6.1539371999999997</v>
      </c>
      <c r="I114" s="5"/>
    </row>
    <row r="115" spans="2:9" ht="14.5" x14ac:dyDescent="0.35">
      <c r="I115" s="5"/>
    </row>
    <row r="116" spans="2:9" ht="14.5" x14ac:dyDescent="0.35">
      <c r="B116" s="2" t="str">
        <f>INDEX(Language!$D$2:$X$300,SUM(Language!AB116),IF(Overview!$A$1="EN",2,11))</f>
        <v>Distribution by tenor (final legal maturity)</v>
      </c>
      <c r="I116" s="5"/>
    </row>
    <row r="117" spans="2:9" ht="14.5" x14ac:dyDescent="0.3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4.5" x14ac:dyDescent="0.35">
      <c r="B118" s="7" t="str">
        <f>INDEX(Language!$D$2:$X$300,SUM(Language!AB118),IF(Overview!$A$1="EN",2,11))</f>
        <v>≤ 12 months</v>
      </c>
      <c r="C118" s="103">
        <v>103464132.7</v>
      </c>
      <c r="D118" s="104">
        <f>IF(($C$123=0),0,(C118/$C$123))</f>
        <v>2.4597176839945469E-2</v>
      </c>
      <c r="F118" s="7" t="str">
        <f>INDEX(Language!$D$2:$X$300,SUM(Language!AF118),IF(Overview!$A$1="EN",6,15))</f>
        <v>≤ 12 months</v>
      </c>
      <c r="G118" s="103">
        <v>25000000</v>
      </c>
      <c r="H118" s="104">
        <f>IF(($G$123=0),0,(G118/$G$123))</f>
        <v>6.6307709095389548E-3</v>
      </c>
      <c r="I118" s="5"/>
    </row>
    <row r="119" spans="2:9" ht="14.5" x14ac:dyDescent="0.35">
      <c r="B119" s="7" t="str">
        <f>INDEX(Language!$D$2:$X$300,SUM(Language!AB119),IF(Overview!$A$1="EN",2,11))</f>
        <v>12 - 36 months</v>
      </c>
      <c r="C119" s="103">
        <v>216257170.39178759</v>
      </c>
      <c r="D119" s="104">
        <f>IF(($C$123=0),0,(C119/$C$123))</f>
        <v>5.1412172742574182E-2</v>
      </c>
      <c r="F119" s="7" t="str">
        <f>INDEX(Language!$D$2:$X$300,SUM(Language!AF119),IF(Overview!$A$1="EN",6,15))</f>
        <v>12 - 36 months</v>
      </c>
      <c r="G119" s="103">
        <v>1119006666.46</v>
      </c>
      <c r="H119" s="104">
        <f>IF(($G$123=0),0,(G119/$G$123))</f>
        <v>0.29679507406172512</v>
      </c>
      <c r="I119" s="5"/>
    </row>
    <row r="120" spans="2:9" ht="14.5" x14ac:dyDescent="0.35">
      <c r="B120" s="7" t="str">
        <f>INDEX(Language!$D$2:$X$300,SUM(Language!AB120),IF(Overview!$A$1="EN",2,11))</f>
        <v>36 - 60 months</v>
      </c>
      <c r="C120" s="103">
        <v>213322265.49900341</v>
      </c>
      <c r="D120" s="104">
        <f>IF(($C$123=0),0,(C120/$C$123))</f>
        <v>5.0714439404727016E-2</v>
      </c>
      <c r="F120" s="7" t="str">
        <f>INDEX(Language!$D$2:$X$300,SUM(Language!AF120),IF(Overview!$A$1="EN",6,15))</f>
        <v>36 - 60 months</v>
      </c>
      <c r="G120" s="103">
        <v>583150000</v>
      </c>
      <c r="H120" s="104">
        <f>IF(($G$123=0),0,(G120/$G$123))</f>
        <v>0.15466936223590566</v>
      </c>
      <c r="I120" s="5"/>
    </row>
    <row r="121" spans="2:9" ht="14.5" x14ac:dyDescent="0.35">
      <c r="B121" s="7" t="str">
        <f>INDEX(Language!$D$2:$X$300,SUM(Language!AB121),IF(Overview!$A$1="EN",2,11))</f>
        <v>60 - 120 months</v>
      </c>
      <c r="C121" s="103">
        <v>658128436.74830186</v>
      </c>
      <c r="D121" s="104">
        <f>IF(($C$123=0),0,(C121/$C$123))</f>
        <v>0.1564609987988122</v>
      </c>
      <c r="F121" s="7" t="str">
        <f>INDEX(Language!$D$2:$X$300,SUM(Language!AF121),IF(Overview!$A$1="EN",6,15))</f>
        <v>60 - 120 months</v>
      </c>
      <c r="G121" s="103">
        <v>1555000000</v>
      </c>
      <c r="H121" s="104">
        <f>IF(($G$123=0),0,(G121/$G$123))</f>
        <v>0.41243395057332299</v>
      </c>
      <c r="I121" s="5"/>
    </row>
    <row r="122" spans="2:9" ht="14.5" x14ac:dyDescent="0.35">
      <c r="B122" s="7" t="str">
        <f>INDEX(Language!$D$2:$X$300,SUM(Language!AB122),IF(Overview!$A$1="EN",2,11))</f>
        <v>≥ 120 months</v>
      </c>
      <c r="C122" s="103">
        <v>3015169778.2421722</v>
      </c>
      <c r="D122" s="104">
        <f>IF(($C$123=0),0,(C122/$C$123))</f>
        <v>0.71681521221394118</v>
      </c>
      <c r="F122" s="7" t="str">
        <f>INDEX(Language!$D$2:$X$300,SUM(Language!AF122),IF(Overview!$A$1="EN",6,15))</f>
        <v>≥ 120 months</v>
      </c>
      <c r="G122" s="103">
        <v>488144003.11000001</v>
      </c>
      <c r="H122" s="104">
        <f>IF(($G$123=0),0,(G122/$G$123))</f>
        <v>0.12947084221950725</v>
      </c>
      <c r="I122" s="5"/>
    </row>
    <row r="123" spans="2:9" ht="14.5" x14ac:dyDescent="0.35">
      <c r="B123" s="12" t="str">
        <f>INDEX(Language!$D$2:$X$300,SUM(Language!AB123),IF(Overview!$A$1="EN",2,11))</f>
        <v>Total</v>
      </c>
      <c r="C123" s="171">
        <f>SUM(C118:C122)</f>
        <v>4206341783.581265</v>
      </c>
      <c r="D123" s="172">
        <f>SUM(D118:D122)</f>
        <v>1</v>
      </c>
      <c r="F123" s="12" t="str">
        <f>INDEX(Language!$D$2:$X$300,SUM(Language!AF123),IF(Overview!$A$1="EN",6,15))</f>
        <v>Total</v>
      </c>
      <c r="G123" s="171">
        <f>SUM(G118:G122)</f>
        <v>3770300669.5700002</v>
      </c>
      <c r="H123" s="172">
        <f>SUM(H118:H122)</f>
        <v>1</v>
      </c>
      <c r="I123" s="5"/>
    </row>
    <row r="124" spans="2:9" ht="14.5" x14ac:dyDescent="0.35">
      <c r="C124" s="2"/>
      <c r="D124" s="2"/>
      <c r="E124" s="2"/>
      <c r="G124" s="2"/>
      <c r="H124" s="2"/>
      <c r="I124" s="5"/>
    </row>
    <row r="125" spans="2:9" ht="14.5" x14ac:dyDescent="0.35">
      <c r="C125" s="2"/>
      <c r="D125" s="2"/>
      <c r="E125" s="2"/>
      <c r="G125" s="2"/>
      <c r="H125" s="2"/>
      <c r="I125" s="5"/>
    </row>
    <row r="126" spans="2:9" ht="14.5" x14ac:dyDescent="0.35">
      <c r="C126" s="2"/>
      <c r="D126" s="2"/>
      <c r="E126" s="2"/>
      <c r="G126" s="2"/>
      <c r="H126" s="2"/>
      <c r="I126" s="5"/>
    </row>
    <row r="127" spans="2:9" ht="14.5" x14ac:dyDescent="0.35">
      <c r="C127" s="2"/>
      <c r="D127" s="2"/>
      <c r="E127" s="2"/>
      <c r="G127" s="2"/>
      <c r="H127" s="2"/>
      <c r="I127" s="5"/>
    </row>
    <row r="128" spans="2:9" ht="14.5" x14ac:dyDescent="0.35">
      <c r="C128" s="2"/>
      <c r="D128" s="2"/>
      <c r="E128" s="2"/>
      <c r="G128" s="2"/>
      <c r="H128" s="2"/>
      <c r="I128" s="5"/>
    </row>
    <row r="129" spans="1:9" ht="14.5" x14ac:dyDescent="0.35">
      <c r="C129" s="2"/>
      <c r="D129" s="2"/>
      <c r="E129" s="2"/>
      <c r="G129" s="2"/>
      <c r="H129" s="2"/>
      <c r="I129" s="5"/>
    </row>
    <row r="130" spans="1:9" ht="14.5" x14ac:dyDescent="0.35">
      <c r="C130" s="2"/>
      <c r="D130" s="2"/>
      <c r="E130" s="2"/>
      <c r="G130" s="2"/>
      <c r="H130" s="2"/>
      <c r="I130" s="5"/>
    </row>
    <row r="131" spans="1:9" ht="14.5" x14ac:dyDescent="0.35">
      <c r="C131" s="2"/>
      <c r="D131" s="2"/>
      <c r="E131" s="2"/>
      <c r="G131" s="2"/>
      <c r="H131" s="2"/>
      <c r="I131" s="5"/>
    </row>
    <row r="132" spans="1:9" ht="14.5" x14ac:dyDescent="0.35">
      <c r="C132" s="2"/>
      <c r="D132" s="2"/>
      <c r="E132" s="2"/>
      <c r="G132" s="2"/>
      <c r="H132" s="2"/>
      <c r="I132" s="5"/>
    </row>
    <row r="133" spans="1:9" ht="14.5" x14ac:dyDescent="0.35">
      <c r="C133" s="2"/>
      <c r="D133" s="2"/>
      <c r="E133" s="2"/>
      <c r="G133" s="2"/>
      <c r="H133" s="2"/>
      <c r="I133" s="5"/>
    </row>
    <row r="134" spans="1:9" ht="14.5" x14ac:dyDescent="0.35">
      <c r="C134" s="2"/>
      <c r="D134" s="2"/>
      <c r="E134" s="2"/>
      <c r="G134" s="2"/>
      <c r="H134" s="2"/>
      <c r="I134" s="5"/>
    </row>
    <row r="135" spans="1:9" ht="14.5" x14ac:dyDescent="0.35">
      <c r="C135" s="2"/>
      <c r="D135" s="2"/>
      <c r="E135" s="2"/>
      <c r="G135" s="2"/>
      <c r="H135" s="2"/>
      <c r="I135" s="5"/>
    </row>
    <row r="136" spans="1:9" ht="14.5" x14ac:dyDescent="0.35">
      <c r="C136" s="2"/>
      <c r="D136" s="2"/>
      <c r="E136" s="2"/>
      <c r="G136" s="2"/>
      <c r="H136" s="2"/>
      <c r="I136" s="5"/>
    </row>
    <row r="137" spans="1:9" ht="14.5" x14ac:dyDescent="0.35">
      <c r="I137" s="5"/>
    </row>
    <row r="138" spans="1:9" s="5" customFormat="1" ht="14.5" x14ac:dyDescent="0.35">
      <c r="A138" s="2"/>
      <c r="B138" s="2"/>
      <c r="C138" s="4"/>
      <c r="D138" s="4"/>
      <c r="E138" s="4"/>
      <c r="F138" s="2"/>
      <c r="G138" s="4"/>
      <c r="H138" s="4"/>
    </row>
    <row r="139" spans="1:9" ht="15" thickBot="1" x14ac:dyDescent="0.4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4.5" x14ac:dyDescent="0.35">
      <c r="I140" s="5"/>
    </row>
    <row r="141" spans="1:9" ht="14.5" x14ac:dyDescent="0.3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4.5" x14ac:dyDescent="0.3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4.5" x14ac:dyDescent="0.35">
      <c r="I143" s="5"/>
    </row>
    <row r="144" spans="1:9" ht="14.5" x14ac:dyDescent="0.3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4.5" x14ac:dyDescent="0.35">
      <c r="B145" s="7" t="str">
        <f>INDEX(Language!$D$2:$X$300,SUM(Language!AB145),IF(Overview!$A$1="EN",2,11))</f>
        <v>Variable, fixed rate during the year</v>
      </c>
      <c r="C145" s="8"/>
      <c r="D145" s="158">
        <v>2203210867.5291462</v>
      </c>
      <c r="F145" s="7" t="str">
        <f>INDEX(Language!$D$2:$X$300,SUM(Language!AF145),IF(Overview!$A$1="EN",6,15))</f>
        <v>Variable, fixed rate during the year</v>
      </c>
      <c r="G145" s="8"/>
      <c r="H145" s="158">
        <v>47650000</v>
      </c>
      <c r="I145" s="5"/>
    </row>
    <row r="146" spans="2:9" ht="14.5" x14ac:dyDescent="0.35">
      <c r="B146" s="7" t="str">
        <f>INDEX(Language!$D$2:$X$300,SUM(Language!AB146),IF(Overview!$A$1="EN",2,11))</f>
        <v>Fixed rate, 1 - 2 years</v>
      </c>
      <c r="C146" s="8"/>
      <c r="D146" s="158">
        <v>6987622.2699999996</v>
      </c>
      <c r="F146" s="7" t="str">
        <f>INDEX(Language!$D$2:$X$300,SUM(Language!AF146),IF(Overview!$A$1="EN",6,15))</f>
        <v>Fixed rate, 1 - 2 years</v>
      </c>
      <c r="G146" s="8"/>
      <c r="H146" s="158">
        <v>578000000</v>
      </c>
      <c r="I146" s="5"/>
    </row>
    <row r="147" spans="2:9" ht="14.5" x14ac:dyDescent="0.35">
      <c r="B147" s="7" t="str">
        <f>INDEX(Language!$D$2:$X$300,SUM(Language!AB147),IF(Overview!$A$1="EN",2,11))</f>
        <v>Fixed rate, 2 - 5 years</v>
      </c>
      <c r="C147" s="8"/>
      <c r="D147" s="158">
        <v>163191584.47</v>
      </c>
      <c r="F147" s="7" t="str">
        <f>INDEX(Language!$D$2:$X$300,SUM(Language!AF147),IF(Overview!$A$1="EN",6,15))</f>
        <v>Fixed rate, 2 - 5 years</v>
      </c>
      <c r="G147" s="8"/>
      <c r="H147" s="158">
        <v>1121506666.46</v>
      </c>
      <c r="I147" s="5"/>
    </row>
    <row r="148" spans="2:9" ht="14.5" x14ac:dyDescent="0.35">
      <c r="B148" s="7" t="str">
        <f>INDEX(Language!$D$2:$X$300,SUM(Language!AB148),IF(Overview!$A$1="EN",2,11))</f>
        <v>Fixed rate, &gt; 5 years</v>
      </c>
      <c r="C148" s="8"/>
      <c r="D148" s="158">
        <v>1832951709.3121183</v>
      </c>
      <c r="F148" s="7" t="str">
        <f>INDEX(Language!$D$2:$X$300,SUM(Language!AF148),IF(Overview!$A$1="EN",6,15))</f>
        <v>Fixed rate, &gt; 5 years</v>
      </c>
      <c r="G148" s="8"/>
      <c r="H148" s="158">
        <v>2023144003.1099999</v>
      </c>
      <c r="I148" s="5"/>
    </row>
    <row r="149" spans="2:9" ht="14.5" x14ac:dyDescent="0.35">
      <c r="B149" s="12" t="str">
        <f>INDEX(Language!$D$2:$X$300,SUM(Language!AB149),IF(Overview!$A$1="EN",2,11))</f>
        <v>Total</v>
      </c>
      <c r="C149" s="23"/>
      <c r="D149" s="186">
        <f>SUM(D145:D148)</f>
        <v>4206341783.5812645</v>
      </c>
      <c r="F149" s="12" t="str">
        <f>INDEX(Language!$D$2:$X$300,SUM(Language!AF149),IF(Overview!$A$1="EN",6,15))</f>
        <v>Total</v>
      </c>
      <c r="G149" s="23"/>
      <c r="H149" s="186">
        <f>SUM(H145:H148)</f>
        <v>3770300669.5699997</v>
      </c>
      <c r="I149" s="5"/>
    </row>
    <row r="150" spans="2:9" ht="14.5" x14ac:dyDescent="0.35">
      <c r="I150" s="5"/>
    </row>
    <row r="151" spans="2:9" ht="14.5" x14ac:dyDescent="0.35">
      <c r="I151" s="5"/>
    </row>
    <row r="152" spans="2:9" ht="14.5" x14ac:dyDescent="0.35">
      <c r="I152" s="5"/>
    </row>
    <row r="153" spans="2:9" ht="14.5" x14ac:dyDescent="0.35">
      <c r="I153" s="5"/>
    </row>
    <row r="154" spans="2:9" ht="14.5" x14ac:dyDescent="0.35">
      <c r="I154" s="5"/>
    </row>
    <row r="155" spans="2:9" ht="14.5" x14ac:dyDescent="0.35">
      <c r="I155" s="5"/>
    </row>
    <row r="156" spans="2:9" ht="14.5" x14ac:dyDescent="0.35">
      <c r="I156" s="5"/>
    </row>
    <row r="157" spans="2:9" ht="14.5" x14ac:dyDescent="0.35">
      <c r="I157" s="5"/>
    </row>
    <row r="158" spans="2:9" ht="14.5" x14ac:dyDescent="0.35">
      <c r="I158" s="5"/>
    </row>
    <row r="159" spans="2:9" ht="14.5" x14ac:dyDescent="0.35">
      <c r="I159" s="5"/>
    </row>
    <row r="160" spans="2:9" ht="14.5" x14ac:dyDescent="0.35">
      <c r="I160" s="5"/>
    </row>
    <row r="161" spans="9:9" ht="14.5" x14ac:dyDescent="0.35">
      <c r="I161" s="5"/>
    </row>
    <row r="162" spans="9:9" ht="14.5" x14ac:dyDescent="0.35">
      <c r="I162" s="5"/>
    </row>
    <row r="163" spans="9:9" ht="14.5" x14ac:dyDescent="0.35">
      <c r="I163" s="5"/>
    </row>
    <row r="164" spans="9:9" ht="14.5" x14ac:dyDescent="0.35">
      <c r="I164" s="5"/>
    </row>
    <row r="165" spans="9:9" ht="14.5" x14ac:dyDescent="0.35">
      <c r="I165" s="5"/>
    </row>
    <row r="166" spans="9:9" ht="14.5" x14ac:dyDescent="0.35">
      <c r="I166" s="5"/>
    </row>
    <row r="167" spans="9:9" ht="14.5" x14ac:dyDescent="0.35">
      <c r="I167" s="5"/>
    </row>
    <row r="168" spans="9:9" ht="14.5" x14ac:dyDescent="0.35">
      <c r="I168" s="5"/>
    </row>
    <row r="169" spans="9:9" ht="14.5" x14ac:dyDescent="0.35">
      <c r="I169" s="5"/>
    </row>
    <row r="170" spans="9:9" ht="14.5" x14ac:dyDescent="0.35">
      <c r="I170" s="5"/>
    </row>
    <row r="171" spans="9:9" ht="14.5" x14ac:dyDescent="0.35">
      <c r="I171" s="5"/>
    </row>
    <row r="172" spans="9:9" ht="14.5" x14ac:dyDescent="0.35">
      <c r="I172" s="5"/>
    </row>
    <row r="173" spans="9:9" ht="14.5" x14ac:dyDescent="0.35">
      <c r="I173" s="5"/>
    </row>
    <row r="174" spans="9:9" ht="14.5" x14ac:dyDescent="0.35">
      <c r="I174" s="5"/>
    </row>
    <row r="175" spans="9:9" ht="14.5" x14ac:dyDescent="0.35">
      <c r="I175" s="5"/>
    </row>
    <row r="176" spans="9:9" ht="14.5" x14ac:dyDescent="0.35">
      <c r="I176" s="5"/>
    </row>
    <row r="177" spans="9:9" ht="14.5" x14ac:dyDescent="0.35">
      <c r="I177" s="5"/>
    </row>
    <row r="178" spans="9:9" ht="14.5" x14ac:dyDescent="0.35">
      <c r="I178" s="5"/>
    </row>
    <row r="179" spans="9:9" ht="14.5" x14ac:dyDescent="0.35">
      <c r="I179" s="5"/>
    </row>
    <row r="180" spans="9:9" ht="14.5" x14ac:dyDescent="0.35">
      <c r="I180" s="5"/>
    </row>
    <row r="181" spans="9:9" ht="14.5" x14ac:dyDescent="0.35">
      <c r="I181" s="5"/>
    </row>
    <row r="182" spans="9:9" ht="14.5" x14ac:dyDescent="0.35">
      <c r="I182" s="5"/>
    </row>
    <row r="183" spans="9:9" ht="14.5" x14ac:dyDescent="0.35">
      <c r="I183" s="5"/>
    </row>
    <row r="184" spans="9:9" ht="14.5" x14ac:dyDescent="0.35">
      <c r="I184" s="5"/>
    </row>
    <row r="185" spans="9:9" ht="14.5" x14ac:dyDescent="0.35">
      <c r="I185" s="5"/>
    </row>
    <row r="186" spans="9:9" ht="14.5" x14ac:dyDescent="0.35">
      <c r="I186" s="5"/>
    </row>
    <row r="187" spans="9:9" ht="14.5" x14ac:dyDescent="0.35">
      <c r="I187" s="5"/>
    </row>
    <row r="188" spans="9:9" ht="14.5" x14ac:dyDescent="0.35">
      <c r="I188" s="5"/>
    </row>
    <row r="189" spans="9:9" ht="14.5" x14ac:dyDescent="0.35">
      <c r="I189" s="5"/>
    </row>
    <row r="190" spans="9:9" ht="14.5" x14ac:dyDescent="0.35">
      <c r="I190" s="5"/>
    </row>
    <row r="191" spans="9:9" ht="14.5" x14ac:dyDescent="0.35">
      <c r="I191" s="5"/>
    </row>
    <row r="192" spans="9:9" ht="14.5" x14ac:dyDescent="0.35">
      <c r="I192" s="5"/>
    </row>
    <row r="193" spans="9:9" ht="14.5" x14ac:dyDescent="0.35">
      <c r="I193" s="5"/>
    </row>
    <row r="194" spans="9:9" ht="14.5" x14ac:dyDescent="0.35">
      <c r="I194" s="5"/>
    </row>
    <row r="195" spans="9:9" ht="14.5" x14ac:dyDescent="0.35">
      <c r="I195" s="5"/>
    </row>
    <row r="196" spans="9:9" ht="14.5" x14ac:dyDescent="0.35">
      <c r="I196" s="5"/>
    </row>
    <row r="197" spans="9:9" ht="14.5" x14ac:dyDescent="0.35">
      <c r="I197" s="5"/>
    </row>
    <row r="198" spans="9:9" ht="14.5" x14ac:dyDescent="0.35">
      <c r="I198" s="5"/>
    </row>
    <row r="199" spans="9:9" ht="14.5" x14ac:dyDescent="0.35">
      <c r="I199" s="5"/>
    </row>
    <row r="200" spans="9:9" ht="14.5" x14ac:dyDescent="0.35">
      <c r="I200" s="5"/>
    </row>
    <row r="201" spans="9:9" ht="14.5" x14ac:dyDescent="0.35">
      <c r="I201" s="5"/>
    </row>
    <row r="202" spans="9:9" ht="14.5" x14ac:dyDescent="0.35">
      <c r="I202" s="5"/>
    </row>
    <row r="203" spans="9:9" ht="14.5" x14ac:dyDescent="0.35">
      <c r="I203" s="5"/>
    </row>
    <row r="204" spans="9:9" ht="14.5" x14ac:dyDescent="0.35">
      <c r="I204" s="5"/>
    </row>
    <row r="205" spans="9:9" ht="14.5" x14ac:dyDescent="0.35">
      <c r="I205" s="5"/>
    </row>
    <row r="206" spans="9:9" ht="14.5" x14ac:dyDescent="0.35">
      <c r="I206" s="5"/>
    </row>
    <row r="207" spans="9:9" ht="14.5" x14ac:dyDescent="0.35">
      <c r="I207" s="5"/>
    </row>
    <row r="208" spans="9:9" ht="14.5" x14ac:dyDescent="0.35">
      <c r="I208" s="5"/>
    </row>
    <row r="209" spans="9:9" ht="14.5" x14ac:dyDescent="0.35">
      <c r="I209" s="5"/>
    </row>
    <row r="210" spans="9:9" ht="14.5" x14ac:dyDescent="0.35">
      <c r="I210" s="5"/>
    </row>
    <row r="211" spans="9:9" ht="14.5" x14ac:dyDescent="0.35">
      <c r="I211" s="5"/>
    </row>
    <row r="212" spans="9:9" ht="14.5" x14ac:dyDescent="0.35">
      <c r="I212" s="5"/>
    </row>
    <row r="213" spans="9:9" ht="14.5" x14ac:dyDescent="0.35">
      <c r="I213" s="5"/>
    </row>
    <row r="214" spans="9:9" ht="14.5" x14ac:dyDescent="0.35">
      <c r="I214" s="5"/>
    </row>
    <row r="215" spans="9:9" ht="14.5" x14ac:dyDescent="0.35">
      <c r="I215" s="5"/>
    </row>
    <row r="216" spans="9:9" ht="14.5" x14ac:dyDescent="0.35">
      <c r="I216" s="5"/>
    </row>
    <row r="217" spans="9:9" ht="14.5" x14ac:dyDescent="0.35">
      <c r="I217" s="5"/>
    </row>
    <row r="218" spans="9:9" ht="14.5" x14ac:dyDescent="0.35">
      <c r="I218" s="5"/>
    </row>
    <row r="219" spans="9:9" ht="14.5" x14ac:dyDescent="0.35">
      <c r="I219" s="5"/>
    </row>
    <row r="220" spans="9:9" ht="14.5" x14ac:dyDescent="0.35">
      <c r="I220" s="5"/>
    </row>
    <row r="221" spans="9:9" ht="14.5" x14ac:dyDescent="0.35">
      <c r="I221" s="5"/>
    </row>
    <row r="222" spans="9:9" ht="14.5" x14ac:dyDescent="0.35">
      <c r="I222" s="5"/>
    </row>
    <row r="223" spans="9:9" ht="14.5" x14ac:dyDescent="0.35">
      <c r="I223" s="5"/>
    </row>
    <row r="224" spans="9:9" ht="14.5" x14ac:dyDescent="0.35">
      <c r="I224" s="5"/>
    </row>
    <row r="225" spans="9:9" ht="14.5" x14ac:dyDescent="0.35">
      <c r="I225" s="5"/>
    </row>
    <row r="226" spans="9:9" ht="14.5" x14ac:dyDescent="0.35">
      <c r="I226" s="5"/>
    </row>
    <row r="227" spans="9:9" ht="14.5" x14ac:dyDescent="0.35">
      <c r="I227" s="5"/>
    </row>
    <row r="228" spans="9:9" ht="14.5" x14ac:dyDescent="0.35">
      <c r="I228" s="5"/>
    </row>
    <row r="229" spans="9:9" ht="14.5" x14ac:dyDescent="0.35">
      <c r="I229" s="5"/>
    </row>
    <row r="230" spans="9:9" ht="14.5" x14ac:dyDescent="0.35">
      <c r="I230" s="5"/>
    </row>
    <row r="231" spans="9:9" ht="14.5" x14ac:dyDescent="0.35">
      <c r="I231" s="5"/>
    </row>
    <row r="232" spans="9:9" ht="14.5" x14ac:dyDescent="0.35">
      <c r="I232" s="5"/>
    </row>
    <row r="233" spans="9:9" ht="14.5" x14ac:dyDescent="0.35">
      <c r="I233" s="5"/>
    </row>
    <row r="234" spans="9:9" ht="14.5" x14ac:dyDescent="0.35">
      <c r="I234" s="5"/>
    </row>
    <row r="235" spans="9:9" ht="14.5" x14ac:dyDescent="0.35">
      <c r="I235" s="5"/>
    </row>
    <row r="236" spans="9:9" ht="14.5" x14ac:dyDescent="0.35">
      <c r="I236" s="5"/>
    </row>
    <row r="237" spans="9:9" ht="14.5" x14ac:dyDescent="0.35">
      <c r="I237" s="5"/>
    </row>
    <row r="238" spans="9:9" ht="14.5" x14ac:dyDescent="0.35">
      <c r="I238" s="5"/>
    </row>
    <row r="239" spans="9:9" ht="14.5" x14ac:dyDescent="0.35">
      <c r="I239" s="5"/>
    </row>
    <row r="240" spans="9:9" ht="14.5" x14ac:dyDescent="0.35">
      <c r="I240" s="5"/>
    </row>
    <row r="241" spans="9:9" ht="14.5" x14ac:dyDescent="0.35">
      <c r="I241" s="5"/>
    </row>
    <row r="242" spans="9:9" ht="14.5" x14ac:dyDescent="0.35">
      <c r="I242" s="5"/>
    </row>
    <row r="243" spans="9:9" ht="14.5" x14ac:dyDescent="0.35">
      <c r="I243" s="5"/>
    </row>
    <row r="244" spans="9:9" ht="14.5" x14ac:dyDescent="0.35">
      <c r="I244" s="5"/>
    </row>
    <row r="245" spans="9:9" ht="14.5" x14ac:dyDescent="0.35">
      <c r="I245" s="5"/>
    </row>
    <row r="246" spans="9:9" ht="14.5" x14ac:dyDescent="0.35">
      <c r="I246" s="5"/>
    </row>
    <row r="247" spans="9:9" ht="14.5" x14ac:dyDescent="0.35">
      <c r="I247" s="5"/>
    </row>
    <row r="248" spans="9:9" ht="14.5" x14ac:dyDescent="0.35">
      <c r="I248" s="5"/>
    </row>
    <row r="249" spans="9:9" ht="14.5" x14ac:dyDescent="0.35">
      <c r="I249" s="5"/>
    </row>
    <row r="250" spans="9:9" ht="14.5" x14ac:dyDescent="0.35">
      <c r="I250" s="5"/>
    </row>
    <row r="251" spans="9:9" ht="14.5" x14ac:dyDescent="0.35">
      <c r="I251" s="5"/>
    </row>
    <row r="252" spans="9:9" ht="14.5" x14ac:dyDescent="0.35">
      <c r="I252" s="5"/>
    </row>
    <row r="253" spans="9:9" ht="14.5" x14ac:dyDescent="0.35">
      <c r="I253" s="5"/>
    </row>
    <row r="254" spans="9:9" ht="14.5" x14ac:dyDescent="0.35">
      <c r="I254" s="5"/>
    </row>
    <row r="255" spans="9:9" ht="14.5" x14ac:dyDescent="0.35">
      <c r="I255" s="5"/>
    </row>
    <row r="256" spans="9:9" ht="14.5" x14ac:dyDescent="0.35">
      <c r="I256" s="5"/>
    </row>
    <row r="257" spans="9:9" ht="14.5" x14ac:dyDescent="0.35">
      <c r="I257" s="5"/>
    </row>
    <row r="258" spans="9:9" ht="14.5" x14ac:dyDescent="0.35">
      <c r="I258" s="5"/>
    </row>
    <row r="259" spans="9:9" ht="14.5" x14ac:dyDescent="0.35">
      <c r="I259" s="5"/>
    </row>
    <row r="260" spans="9:9" ht="14.5" x14ac:dyDescent="0.35">
      <c r="I260" s="5"/>
    </row>
    <row r="261" spans="9:9" ht="14.5" x14ac:dyDescent="0.35">
      <c r="I261" s="5"/>
    </row>
    <row r="262" spans="9:9" ht="14.5" x14ac:dyDescent="0.35">
      <c r="I262" s="5"/>
    </row>
    <row r="263" spans="9:9" ht="14.5" x14ac:dyDescent="0.35">
      <c r="I263" s="5"/>
    </row>
    <row r="264" spans="9:9" ht="14.5" x14ac:dyDescent="0.35">
      <c r="I264" s="5"/>
    </row>
    <row r="265" spans="9:9" ht="14.5" x14ac:dyDescent="0.35">
      <c r="I265" s="5"/>
    </row>
    <row r="266" spans="9:9" ht="14.5" x14ac:dyDescent="0.35">
      <c r="I266" s="5"/>
    </row>
    <row r="267" spans="9:9" ht="14.5" x14ac:dyDescent="0.35">
      <c r="I267" s="5"/>
    </row>
    <row r="268" spans="9:9" ht="14.5" x14ac:dyDescent="0.35">
      <c r="I268" s="5"/>
    </row>
    <row r="269" spans="9:9" ht="14.5" x14ac:dyDescent="0.35">
      <c r="I269" s="5"/>
    </row>
    <row r="270" spans="9:9" ht="14.5" x14ac:dyDescent="0.35">
      <c r="I270" s="5"/>
    </row>
    <row r="271" spans="9:9" ht="14.5" x14ac:dyDescent="0.35">
      <c r="I271" s="5"/>
    </row>
    <row r="272" spans="9:9" ht="14.5" x14ac:dyDescent="0.35">
      <c r="I272" s="5"/>
    </row>
    <row r="273" spans="9:9" ht="14.5" x14ac:dyDescent="0.35">
      <c r="I273" s="5"/>
    </row>
    <row r="274" spans="9:9" ht="14.5" x14ac:dyDescent="0.35">
      <c r="I274" s="5"/>
    </row>
    <row r="275" spans="9:9" ht="14.5" x14ac:dyDescent="0.35">
      <c r="I275" s="5"/>
    </row>
    <row r="276" spans="9:9" ht="14.5" x14ac:dyDescent="0.35">
      <c r="I276" s="5"/>
    </row>
    <row r="277" spans="9:9" ht="14.5" x14ac:dyDescent="0.35">
      <c r="I277" s="5"/>
    </row>
    <row r="278" spans="9:9" ht="14.5" x14ac:dyDescent="0.35">
      <c r="I278" s="5"/>
    </row>
    <row r="279" spans="9:9" ht="14.5" x14ac:dyDescent="0.35">
      <c r="I279" s="5"/>
    </row>
    <row r="280" spans="9:9" ht="14.5" x14ac:dyDescent="0.35">
      <c r="I280" s="5"/>
    </row>
    <row r="281" spans="9:9" ht="14.5" x14ac:dyDescent="0.35">
      <c r="I281" s="5"/>
    </row>
    <row r="282" spans="9:9" ht="14.5" x14ac:dyDescent="0.35">
      <c r="I282" s="5"/>
    </row>
    <row r="283" spans="9:9" ht="14.5" x14ac:dyDescent="0.35">
      <c r="I283" s="5"/>
    </row>
    <row r="284" spans="9:9" ht="14.5" x14ac:dyDescent="0.35">
      <c r="I284" s="5"/>
    </row>
    <row r="285" spans="9:9" ht="14.5" x14ac:dyDescent="0.35">
      <c r="I285" s="5"/>
    </row>
    <row r="286" spans="9:9" ht="14.5" x14ac:dyDescent="0.35">
      <c r="I286" s="5"/>
    </row>
    <row r="287" spans="9:9" ht="14.5" x14ac:dyDescent="0.35">
      <c r="I287" s="5"/>
    </row>
    <row r="288" spans="9:9" ht="14.5" x14ac:dyDescent="0.35">
      <c r="I288" s="5"/>
    </row>
    <row r="289" spans="9:9" ht="14.5" x14ac:dyDescent="0.35">
      <c r="I289" s="5"/>
    </row>
    <row r="290" spans="9:9" ht="14.5" x14ac:dyDescent="0.35">
      <c r="I290" s="5"/>
    </row>
    <row r="291" spans="9:9" ht="14.5" x14ac:dyDescent="0.35">
      <c r="I291" s="5"/>
    </row>
    <row r="292" spans="9:9" ht="14.5" x14ac:dyDescent="0.35">
      <c r="I292" s="5"/>
    </row>
    <row r="293" spans="9:9" ht="14.5" x14ac:dyDescent="0.35">
      <c r="I293" s="5"/>
    </row>
    <row r="294" spans="9:9" ht="14.5" x14ac:dyDescent="0.35">
      <c r="I294" s="5"/>
    </row>
    <row r="295" spans="9:9" ht="14.5" x14ac:dyDescent="0.35">
      <c r="I295" s="5"/>
    </row>
    <row r="296" spans="9:9" ht="14.5" x14ac:dyDescent="0.35">
      <c r="I296" s="5"/>
    </row>
    <row r="297" spans="9:9" ht="14.5" x14ac:dyDescent="0.35">
      <c r="I297" s="5"/>
    </row>
    <row r="298" spans="9:9" ht="14.5" x14ac:dyDescent="0.35">
      <c r="I298" s="5"/>
    </row>
    <row r="299" spans="9:9" ht="14.5" x14ac:dyDescent="0.35">
      <c r="I299" s="5"/>
    </row>
    <row r="300" spans="9:9" ht="14.5" x14ac:dyDescent="0.35">
      <c r="I300" s="5"/>
    </row>
    <row r="301" spans="9:9" ht="14.5" x14ac:dyDescent="0.35">
      <c r="I301" s="5"/>
    </row>
    <row r="302" spans="9:9" ht="14.5" x14ac:dyDescent="0.35">
      <c r="I302" s="5"/>
    </row>
    <row r="303" spans="9:9" ht="14.5" x14ac:dyDescent="0.35">
      <c r="I303" s="5"/>
    </row>
    <row r="304" spans="9:9" ht="14.5" x14ac:dyDescent="0.35">
      <c r="I304" s="5"/>
    </row>
    <row r="305" spans="9:9" ht="14.5" x14ac:dyDescent="0.35">
      <c r="I305" s="5"/>
    </row>
    <row r="306" spans="9:9" ht="14.5" x14ac:dyDescent="0.35">
      <c r="I306" s="5"/>
    </row>
    <row r="307" spans="9:9" ht="14.5" x14ac:dyDescent="0.35">
      <c r="I307" s="5"/>
    </row>
    <row r="308" spans="9:9" ht="14.5" x14ac:dyDescent="0.35">
      <c r="I308" s="5"/>
    </row>
    <row r="309" spans="9:9" ht="14.5" x14ac:dyDescent="0.35">
      <c r="I309" s="5"/>
    </row>
    <row r="310" spans="9:9" ht="14.5" x14ac:dyDescent="0.35">
      <c r="I310" s="5"/>
    </row>
    <row r="311" spans="9:9" ht="14.5" x14ac:dyDescent="0.35">
      <c r="I311" s="5"/>
    </row>
    <row r="312" spans="9:9" ht="14.5" x14ac:dyDescent="0.35">
      <c r="I312" s="5"/>
    </row>
    <row r="313" spans="9:9" ht="14.5" x14ac:dyDescent="0.35">
      <c r="I313" s="5"/>
    </row>
    <row r="314" spans="9:9" ht="14.5" x14ac:dyDescent="0.35">
      <c r="I314" s="5"/>
    </row>
    <row r="315" spans="9:9" ht="14.5" x14ac:dyDescent="0.35">
      <c r="I315" s="5"/>
    </row>
    <row r="316" spans="9:9" ht="14.5" x14ac:dyDescent="0.35">
      <c r="I316" s="5"/>
    </row>
    <row r="317" spans="9:9" ht="14.5" x14ac:dyDescent="0.35">
      <c r="I317" s="5"/>
    </row>
    <row r="318" spans="9:9" ht="14.5" x14ac:dyDescent="0.35">
      <c r="I318" s="5"/>
    </row>
    <row r="319" spans="9:9" ht="14.5" x14ac:dyDescent="0.35">
      <c r="I319" s="5"/>
    </row>
    <row r="320" spans="9:9" ht="14.5" x14ac:dyDescent="0.35">
      <c r="I320" s="5"/>
    </row>
    <row r="321" spans="9:9" ht="14.5" x14ac:dyDescent="0.35">
      <c r="I321" s="5"/>
    </row>
    <row r="322" spans="9:9" ht="14.5" x14ac:dyDescent="0.35">
      <c r="I322" s="5"/>
    </row>
    <row r="323" spans="9:9" ht="14.5" x14ac:dyDescent="0.35">
      <c r="I323" s="5"/>
    </row>
    <row r="324" spans="9:9" ht="14.5" x14ac:dyDescent="0.35">
      <c r="I324" s="5"/>
    </row>
    <row r="325" spans="9:9" ht="14.5" x14ac:dyDescent="0.35">
      <c r="I325" s="5"/>
    </row>
    <row r="326" spans="9:9" ht="14.5" x14ac:dyDescent="0.35">
      <c r="I326" s="5"/>
    </row>
    <row r="327" spans="9:9" ht="14.5" x14ac:dyDescent="0.35">
      <c r="I327" s="5"/>
    </row>
    <row r="328" spans="9:9" ht="14.5" x14ac:dyDescent="0.35">
      <c r="I328" s="5"/>
    </row>
    <row r="329" spans="9:9" ht="14.5" x14ac:dyDescent="0.35">
      <c r="I329" s="5"/>
    </row>
    <row r="330" spans="9:9" ht="14.5" x14ac:dyDescent="0.35">
      <c r="I330" s="5"/>
    </row>
    <row r="331" spans="9:9" ht="14.5" x14ac:dyDescent="0.35">
      <c r="I331" s="5"/>
    </row>
    <row r="332" spans="9:9" ht="14.5" x14ac:dyDescent="0.35">
      <c r="I332" s="5"/>
    </row>
    <row r="333" spans="9:9" ht="14.5" x14ac:dyDescent="0.35">
      <c r="I333" s="5"/>
    </row>
    <row r="334" spans="9:9" ht="14.5" x14ac:dyDescent="0.35">
      <c r="I334" s="5"/>
    </row>
    <row r="335" spans="9:9" ht="14.5" x14ac:dyDescent="0.35">
      <c r="I335" s="5"/>
    </row>
    <row r="336" spans="9:9" ht="14.5" x14ac:dyDescent="0.35">
      <c r="I336" s="5"/>
    </row>
    <row r="337" spans="9:9" ht="14.5" x14ac:dyDescent="0.35">
      <c r="I337" s="5"/>
    </row>
    <row r="338" spans="9:9" ht="14.5" x14ac:dyDescent="0.35">
      <c r="I338" s="5"/>
    </row>
    <row r="339" spans="9:9" ht="14.5" x14ac:dyDescent="0.35">
      <c r="I339" s="5"/>
    </row>
    <row r="340" spans="9:9" ht="14.5" x14ac:dyDescent="0.35">
      <c r="I340" s="5"/>
    </row>
    <row r="341" spans="9:9" ht="14.5" x14ac:dyDescent="0.35">
      <c r="I341" s="5"/>
    </row>
    <row r="342" spans="9:9" ht="14.5" x14ac:dyDescent="0.35">
      <c r="I342" s="5"/>
    </row>
    <row r="343" spans="9:9" ht="14.5" x14ac:dyDescent="0.35">
      <c r="I343" s="5"/>
    </row>
    <row r="344" spans="9:9" ht="14.5" x14ac:dyDescent="0.35">
      <c r="I344" s="5"/>
    </row>
    <row r="345" spans="9:9" ht="14.5" x14ac:dyDescent="0.35">
      <c r="I345" s="5"/>
    </row>
    <row r="346" spans="9:9" ht="14.5" x14ac:dyDescent="0.35">
      <c r="I346" s="5"/>
    </row>
    <row r="347" spans="9:9" ht="14.5" x14ac:dyDescent="0.35">
      <c r="I347" s="5"/>
    </row>
    <row r="348" spans="9:9" ht="14.5" x14ac:dyDescent="0.35">
      <c r="I348" s="5"/>
    </row>
    <row r="349" spans="9:9" ht="14.5" x14ac:dyDescent="0.35">
      <c r="I349" s="5"/>
    </row>
    <row r="350" spans="9:9" ht="14.5" x14ac:dyDescent="0.35">
      <c r="I350" s="5"/>
    </row>
    <row r="351" spans="9:9" ht="14.5" x14ac:dyDescent="0.35">
      <c r="I351" s="5"/>
    </row>
    <row r="352" spans="9:9" ht="14.5" x14ac:dyDescent="0.35">
      <c r="I352" s="5"/>
    </row>
    <row r="353" spans="9:9" ht="14.5" x14ac:dyDescent="0.35">
      <c r="I353" s="5"/>
    </row>
    <row r="354" spans="9:9" ht="14.5" x14ac:dyDescent="0.35">
      <c r="I354" s="5"/>
    </row>
    <row r="355" spans="9:9" ht="14.5" x14ac:dyDescent="0.35">
      <c r="I355" s="5"/>
    </row>
    <row r="356" spans="9:9" ht="14.5" x14ac:dyDescent="0.35">
      <c r="I356" s="5"/>
    </row>
    <row r="357" spans="9:9" ht="14.5" x14ac:dyDescent="0.35">
      <c r="I357" s="5"/>
    </row>
    <row r="358" spans="9:9" ht="14.5" x14ac:dyDescent="0.35">
      <c r="I358" s="5"/>
    </row>
    <row r="359" spans="9:9" ht="14.5" x14ac:dyDescent="0.35">
      <c r="I359" s="5"/>
    </row>
    <row r="360" spans="9:9" ht="14.5" x14ac:dyDescent="0.35">
      <c r="I360" s="5"/>
    </row>
    <row r="361" spans="9:9" ht="14.5" x14ac:dyDescent="0.35">
      <c r="I361" s="5"/>
    </row>
    <row r="362" spans="9:9" ht="14.5" x14ac:dyDescent="0.35">
      <c r="I362" s="5"/>
    </row>
    <row r="363" spans="9:9" ht="14.5" x14ac:dyDescent="0.35">
      <c r="I363" s="5"/>
    </row>
    <row r="364" spans="9:9" ht="14.5" x14ac:dyDescent="0.35">
      <c r="I364" s="5"/>
    </row>
    <row r="365" spans="9:9" ht="14.5" x14ac:dyDescent="0.35">
      <c r="I365" s="5"/>
    </row>
    <row r="366" spans="9:9" ht="14.5" x14ac:dyDescent="0.35">
      <c r="I366" s="5"/>
    </row>
    <row r="367" spans="9:9" ht="14.5" x14ac:dyDescent="0.35">
      <c r="I367" s="5"/>
    </row>
    <row r="368" spans="9:9" ht="14.5" x14ac:dyDescent="0.35">
      <c r="I368" s="5"/>
    </row>
    <row r="369" spans="9:9" ht="14.5" x14ac:dyDescent="0.35">
      <c r="I369" s="5"/>
    </row>
    <row r="370" spans="9:9" ht="14.5" x14ac:dyDescent="0.35">
      <c r="I370" s="5"/>
    </row>
    <row r="371" spans="9:9" ht="14.5" x14ac:dyDescent="0.35">
      <c r="I371" s="5"/>
    </row>
    <row r="372" spans="9:9" ht="14.5" x14ac:dyDescent="0.35">
      <c r="I372" s="5"/>
    </row>
    <row r="373" spans="9:9" ht="14.5" x14ac:dyDescent="0.35">
      <c r="I373" s="5"/>
    </row>
    <row r="374" spans="9:9" ht="14.5" x14ac:dyDescent="0.35">
      <c r="I374" s="5"/>
    </row>
    <row r="375" spans="9:9" ht="14.5" x14ac:dyDescent="0.35">
      <c r="I375" s="5"/>
    </row>
    <row r="376" spans="9:9" ht="14.5" x14ac:dyDescent="0.35">
      <c r="I376" s="5"/>
    </row>
    <row r="377" spans="9:9" ht="14.5" x14ac:dyDescent="0.35">
      <c r="I377" s="5"/>
    </row>
    <row r="378" spans="9:9" ht="14.5" x14ac:dyDescent="0.35">
      <c r="I378" s="5"/>
    </row>
    <row r="379" spans="9:9" ht="14.5" x14ac:dyDescent="0.35">
      <c r="I379" s="5"/>
    </row>
    <row r="380" spans="9:9" ht="14.5" x14ac:dyDescent="0.35">
      <c r="I380" s="5"/>
    </row>
    <row r="381" spans="9:9" ht="14.5" x14ac:dyDescent="0.35">
      <c r="I381" s="5"/>
    </row>
    <row r="382" spans="9:9" ht="14.5" x14ac:dyDescent="0.35">
      <c r="I382" s="5"/>
    </row>
    <row r="383" spans="9:9" ht="14.5" x14ac:dyDescent="0.35">
      <c r="I383" s="5"/>
    </row>
    <row r="384" spans="9:9" ht="14.5" x14ac:dyDescent="0.35">
      <c r="I384" s="5"/>
    </row>
    <row r="385" spans="9:9" ht="14.5" x14ac:dyDescent="0.35">
      <c r="I385" s="5"/>
    </row>
    <row r="386" spans="9:9" ht="14.5" x14ac:dyDescent="0.35">
      <c r="I386" s="5"/>
    </row>
    <row r="387" spans="9:9" ht="14.5" x14ac:dyDescent="0.35">
      <c r="I387" s="5"/>
    </row>
    <row r="388" spans="9:9" ht="14.5" x14ac:dyDescent="0.35">
      <c r="I388" s="5"/>
    </row>
    <row r="389" spans="9:9" ht="14.5" x14ac:dyDescent="0.35">
      <c r="I389" s="5"/>
    </row>
    <row r="390" spans="9:9" ht="14.5" x14ac:dyDescent="0.35">
      <c r="I390" s="5"/>
    </row>
    <row r="391" spans="9:9" ht="14.5" x14ac:dyDescent="0.35">
      <c r="I391" s="5"/>
    </row>
    <row r="392" spans="9:9" ht="14.5" x14ac:dyDescent="0.35">
      <c r="I392" s="5"/>
    </row>
    <row r="393" spans="9:9" ht="14.5" x14ac:dyDescent="0.35">
      <c r="I393" s="5"/>
    </row>
    <row r="394" spans="9:9" ht="14.5" x14ac:dyDescent="0.35">
      <c r="I394" s="5"/>
    </row>
    <row r="395" spans="9:9" ht="14.5" x14ac:dyDescent="0.35">
      <c r="I395" s="5"/>
    </row>
    <row r="396" spans="9:9" ht="14.5" x14ac:dyDescent="0.35">
      <c r="I396" s="5"/>
    </row>
    <row r="397" spans="9:9" ht="14.5" x14ac:dyDescent="0.35">
      <c r="I397" s="5"/>
    </row>
    <row r="398" spans="9:9" ht="14.5" x14ac:dyDescent="0.35">
      <c r="I398" s="5"/>
    </row>
    <row r="399" spans="9:9" ht="14.5" x14ac:dyDescent="0.35">
      <c r="I399" s="5"/>
    </row>
    <row r="400" spans="9:9" ht="14.5" x14ac:dyDescent="0.35">
      <c r="I400" s="5"/>
    </row>
    <row r="401" spans="9:9" ht="14.5" x14ac:dyDescent="0.35">
      <c r="I401" s="5"/>
    </row>
    <row r="402" spans="9:9" ht="14.5" x14ac:dyDescent="0.35">
      <c r="I402" s="5"/>
    </row>
    <row r="403" spans="9:9" ht="14.5" x14ac:dyDescent="0.35">
      <c r="I403" s="5"/>
    </row>
    <row r="404" spans="9:9" ht="14.5" x14ac:dyDescent="0.35">
      <c r="I404" s="5"/>
    </row>
    <row r="405" spans="9:9" ht="14.5" x14ac:dyDescent="0.35">
      <c r="I405" s="5"/>
    </row>
    <row r="406" spans="9:9" ht="14.5" x14ac:dyDescent="0.35">
      <c r="I406" s="5"/>
    </row>
    <row r="407" spans="9:9" ht="14.5" x14ac:dyDescent="0.35">
      <c r="I407" s="5"/>
    </row>
    <row r="408" spans="9:9" ht="14.5" x14ac:dyDescent="0.35">
      <c r="I408" s="5"/>
    </row>
    <row r="409" spans="9:9" ht="14.5" x14ac:dyDescent="0.35">
      <c r="I409" s="5"/>
    </row>
    <row r="410" spans="9:9" ht="14.5" x14ac:dyDescent="0.35">
      <c r="I410" s="5"/>
    </row>
    <row r="411" spans="9:9" ht="14.5" x14ac:dyDescent="0.35">
      <c r="I411" s="5"/>
    </row>
    <row r="412" spans="9:9" ht="14.5" x14ac:dyDescent="0.35">
      <c r="I412" s="5"/>
    </row>
    <row r="413" spans="9:9" ht="14.5" x14ac:dyDescent="0.35">
      <c r="I413" s="5"/>
    </row>
    <row r="414" spans="9:9" ht="14.5" x14ac:dyDescent="0.35">
      <c r="I414" s="5"/>
    </row>
    <row r="415" spans="9:9" ht="14.5" x14ac:dyDescent="0.35">
      <c r="I415" s="5"/>
    </row>
    <row r="416" spans="9:9" ht="14.5" x14ac:dyDescent="0.35">
      <c r="I416" s="5"/>
    </row>
    <row r="417" spans="9:9" ht="14.5" x14ac:dyDescent="0.35">
      <c r="I417" s="5"/>
    </row>
    <row r="418" spans="9:9" ht="14.5" x14ac:dyDescent="0.35">
      <c r="I418" s="5"/>
    </row>
    <row r="419" spans="9:9" ht="14.5" x14ac:dyDescent="0.35">
      <c r="I419" s="5"/>
    </row>
    <row r="420" spans="9:9" ht="14.5" x14ac:dyDescent="0.35">
      <c r="I420" s="5"/>
    </row>
    <row r="421" spans="9:9" ht="14.5" x14ac:dyDescent="0.35">
      <c r="I421" s="5"/>
    </row>
    <row r="422" spans="9:9" ht="14.5" x14ac:dyDescent="0.35">
      <c r="I422" s="5"/>
    </row>
    <row r="423" spans="9:9" ht="14.5" x14ac:dyDescent="0.35">
      <c r="I423" s="5"/>
    </row>
    <row r="424" spans="9:9" ht="14.5" x14ac:dyDescent="0.35">
      <c r="I424" s="5"/>
    </row>
    <row r="425" spans="9:9" ht="14.5" x14ac:dyDescent="0.35">
      <c r="I425" s="5"/>
    </row>
    <row r="426" spans="9:9" ht="14.5" x14ac:dyDescent="0.35">
      <c r="I426" s="5"/>
    </row>
    <row r="427" spans="9:9" ht="14.5" x14ac:dyDescent="0.35">
      <c r="I427" s="5"/>
    </row>
    <row r="428" spans="9:9" ht="14.5" x14ac:dyDescent="0.35">
      <c r="I428" s="5"/>
    </row>
    <row r="429" spans="9:9" ht="14.5" x14ac:dyDescent="0.35">
      <c r="I429" s="5"/>
    </row>
    <row r="430" spans="9:9" ht="14.5" x14ac:dyDescent="0.35">
      <c r="I430" s="5"/>
    </row>
    <row r="431" spans="9:9" ht="14.5" x14ac:dyDescent="0.35">
      <c r="I431" s="5"/>
    </row>
    <row r="432" spans="9:9" ht="14.5" x14ac:dyDescent="0.35">
      <c r="I432" s="5"/>
    </row>
    <row r="433" spans="9:9" ht="14.5" x14ac:dyDescent="0.35">
      <c r="I433" s="5"/>
    </row>
    <row r="434" spans="9:9" ht="14.5" x14ac:dyDescent="0.35">
      <c r="I434" s="5"/>
    </row>
    <row r="435" spans="9:9" ht="14.5" x14ac:dyDescent="0.35">
      <c r="I435" s="5"/>
    </row>
    <row r="436" spans="9:9" ht="14.5" x14ac:dyDescent="0.35">
      <c r="I436" s="5"/>
    </row>
    <row r="437" spans="9:9" ht="14.5" x14ac:dyDescent="0.35">
      <c r="I437" s="5"/>
    </row>
    <row r="438" spans="9:9" ht="14.5" x14ac:dyDescent="0.35">
      <c r="I438" s="5"/>
    </row>
    <row r="439" spans="9:9" ht="14.5" x14ac:dyDescent="0.35">
      <c r="I439" s="5"/>
    </row>
    <row r="440" spans="9:9" ht="14.5" x14ac:dyDescent="0.35">
      <c r="I440" s="5"/>
    </row>
    <row r="441" spans="9:9" ht="14.5" x14ac:dyDescent="0.35">
      <c r="I441" s="5"/>
    </row>
    <row r="442" spans="9:9" ht="14.5" x14ac:dyDescent="0.35">
      <c r="I442" s="5"/>
    </row>
    <row r="443" spans="9:9" ht="14.5" x14ac:dyDescent="0.35">
      <c r="I443" s="5"/>
    </row>
    <row r="444" spans="9:9" ht="14.5" x14ac:dyDescent="0.35">
      <c r="I444" s="5"/>
    </row>
    <row r="445" spans="9:9" ht="14.5" x14ac:dyDescent="0.35">
      <c r="I445" s="5"/>
    </row>
    <row r="446" spans="9:9" ht="14.5" x14ac:dyDescent="0.35">
      <c r="I446" s="5"/>
    </row>
    <row r="447" spans="9:9" ht="14.5" x14ac:dyDescent="0.35">
      <c r="I447" s="5"/>
    </row>
    <row r="448" spans="9:9" ht="14.5" x14ac:dyDescent="0.35">
      <c r="I448" s="5"/>
    </row>
    <row r="449" spans="9:9" ht="14.5" x14ac:dyDescent="0.35">
      <c r="I449" s="5"/>
    </row>
    <row r="450" spans="9:9" ht="14.5" x14ac:dyDescent="0.35">
      <c r="I450" s="5"/>
    </row>
    <row r="451" spans="9:9" ht="14.5" x14ac:dyDescent="0.35">
      <c r="I451" s="5"/>
    </row>
    <row r="452" spans="9:9" ht="14.5" x14ac:dyDescent="0.35">
      <c r="I452" s="5"/>
    </row>
    <row r="453" spans="9:9" ht="14.5" x14ac:dyDescent="0.35">
      <c r="I453" s="5"/>
    </row>
    <row r="454" spans="9:9" ht="14.5" x14ac:dyDescent="0.35">
      <c r="I454" s="5"/>
    </row>
    <row r="455" spans="9:9" ht="14.5" x14ac:dyDescent="0.35">
      <c r="I455" s="5"/>
    </row>
    <row r="456" spans="9:9" ht="14.5" x14ac:dyDescent="0.35">
      <c r="I456" s="5"/>
    </row>
    <row r="457" spans="9:9" ht="14.5" x14ac:dyDescent="0.35">
      <c r="I457" s="5"/>
    </row>
    <row r="458" spans="9:9" ht="14.5" x14ac:dyDescent="0.35">
      <c r="I458" s="5"/>
    </row>
    <row r="459" spans="9:9" ht="14.5" x14ac:dyDescent="0.35">
      <c r="I459" s="5"/>
    </row>
    <row r="460" spans="9:9" ht="14.5" x14ac:dyDescent="0.35">
      <c r="I460" s="5"/>
    </row>
    <row r="461" spans="9:9" ht="14.5" x14ac:dyDescent="0.35">
      <c r="I461" s="5"/>
    </row>
    <row r="462" spans="9:9" ht="14.5" x14ac:dyDescent="0.35">
      <c r="I462" s="5"/>
    </row>
    <row r="463" spans="9:9" ht="14.5" x14ac:dyDescent="0.35">
      <c r="I463" s="5"/>
    </row>
    <row r="464" spans="9:9" ht="14.5" x14ac:dyDescent="0.35">
      <c r="I464" s="5"/>
    </row>
    <row r="465" spans="9:9" ht="14.5" x14ac:dyDescent="0.35">
      <c r="I465" s="5"/>
    </row>
    <row r="466" spans="9:9" ht="14.5" x14ac:dyDescent="0.35">
      <c r="I466" s="5"/>
    </row>
    <row r="467" spans="9:9" ht="14.5" x14ac:dyDescent="0.35">
      <c r="I467" s="5"/>
    </row>
    <row r="468" spans="9:9" ht="14.5" x14ac:dyDescent="0.35">
      <c r="I468" s="5"/>
    </row>
    <row r="469" spans="9:9" ht="14.5" x14ac:dyDescent="0.35">
      <c r="I469" s="5"/>
    </row>
    <row r="470" spans="9:9" ht="14.5" x14ac:dyDescent="0.35">
      <c r="I470" s="5"/>
    </row>
    <row r="471" spans="9:9" ht="14.5" x14ac:dyDescent="0.35">
      <c r="I471" s="5"/>
    </row>
    <row r="472" spans="9:9" ht="14.5" x14ac:dyDescent="0.35">
      <c r="I472" s="5"/>
    </row>
    <row r="473" spans="9:9" ht="14.5" x14ac:dyDescent="0.35">
      <c r="I473" s="5"/>
    </row>
    <row r="474" spans="9:9" ht="14.5" x14ac:dyDescent="0.35">
      <c r="I474" s="5"/>
    </row>
    <row r="475" spans="9:9" ht="14.5" x14ac:dyDescent="0.35">
      <c r="I475" s="5"/>
    </row>
    <row r="476" spans="9:9" ht="14.5" x14ac:dyDescent="0.35">
      <c r="I476" s="5"/>
    </row>
    <row r="477" spans="9:9" ht="14.5" x14ac:dyDescent="0.35">
      <c r="I477" s="5"/>
    </row>
    <row r="478" spans="9:9" ht="14.5" x14ac:dyDescent="0.35">
      <c r="I478" s="5"/>
    </row>
    <row r="479" spans="9:9" ht="14.5" x14ac:dyDescent="0.35">
      <c r="I479" s="5"/>
    </row>
    <row r="480" spans="9:9" ht="14.5" x14ac:dyDescent="0.35">
      <c r="I480" s="5"/>
    </row>
    <row r="481" spans="9:9" ht="14.5" x14ac:dyDescent="0.35">
      <c r="I481" s="5"/>
    </row>
    <row r="482" spans="9:9" ht="14.5" x14ac:dyDescent="0.35">
      <c r="I482" s="5"/>
    </row>
    <row r="483" spans="9:9" ht="14.5" x14ac:dyDescent="0.35">
      <c r="I483" s="5"/>
    </row>
    <row r="484" spans="9:9" ht="14.5" x14ac:dyDescent="0.35">
      <c r="I484" s="5"/>
    </row>
    <row r="485" spans="9:9" ht="14.5" x14ac:dyDescent="0.35">
      <c r="I485" s="5"/>
    </row>
    <row r="486" spans="9:9" ht="14.5" x14ac:dyDescent="0.35">
      <c r="I486" s="5"/>
    </row>
    <row r="487" spans="9:9" ht="14.5" x14ac:dyDescent="0.35">
      <c r="I487" s="5"/>
    </row>
    <row r="488" spans="9:9" ht="14.5" x14ac:dyDescent="0.35">
      <c r="I488" s="5"/>
    </row>
    <row r="489" spans="9:9" ht="14.5" x14ac:dyDescent="0.35">
      <c r="I489" s="5"/>
    </row>
    <row r="490" spans="9:9" ht="14.5" x14ac:dyDescent="0.35">
      <c r="I490" s="5"/>
    </row>
    <row r="491" spans="9:9" ht="14.5" x14ac:dyDescent="0.35">
      <c r="I491" s="5"/>
    </row>
    <row r="492" spans="9:9" ht="14.5" x14ac:dyDescent="0.35">
      <c r="I492" s="5"/>
    </row>
    <row r="493" spans="9:9" ht="14.5" x14ac:dyDescent="0.35">
      <c r="I493" s="5"/>
    </row>
    <row r="494" spans="9:9" ht="14.5" x14ac:dyDescent="0.35">
      <c r="I494" s="5"/>
    </row>
    <row r="495" spans="9:9" ht="14.5" x14ac:dyDescent="0.35">
      <c r="I495" s="5"/>
    </row>
    <row r="496" spans="9:9" ht="14.5" x14ac:dyDescent="0.35">
      <c r="I496" s="5"/>
    </row>
    <row r="497" spans="9:9" ht="14.5" x14ac:dyDescent="0.35">
      <c r="I497" s="5"/>
    </row>
    <row r="498" spans="9:9" ht="14.5" x14ac:dyDescent="0.35">
      <c r="I498" s="5"/>
    </row>
    <row r="499" spans="9:9" ht="14.5" x14ac:dyDescent="0.35">
      <c r="I499" s="5"/>
    </row>
    <row r="500" spans="9:9" ht="14.5" x14ac:dyDescent="0.35">
      <c r="I500" s="5"/>
    </row>
    <row r="501" spans="9:9" ht="14.5" x14ac:dyDescent="0.35">
      <c r="I501" s="5"/>
    </row>
    <row r="502" spans="9:9" ht="14.5" x14ac:dyDescent="0.35">
      <c r="I502" s="5"/>
    </row>
    <row r="503" spans="9:9" ht="14.5" x14ac:dyDescent="0.35">
      <c r="I503" s="5"/>
    </row>
    <row r="504" spans="9:9" ht="14.5" x14ac:dyDescent="0.35">
      <c r="I504" s="5"/>
    </row>
    <row r="505" spans="9:9" ht="14.5" x14ac:dyDescent="0.35">
      <c r="I505" s="5"/>
    </row>
    <row r="506" spans="9:9" ht="14.5" x14ac:dyDescent="0.35">
      <c r="I506" s="5"/>
    </row>
    <row r="507" spans="9:9" ht="14.5" x14ac:dyDescent="0.35">
      <c r="I507" s="5"/>
    </row>
    <row r="508" spans="9:9" ht="14.5" x14ac:dyDescent="0.35">
      <c r="I508" s="5"/>
    </row>
    <row r="509" spans="9:9" ht="14.5" x14ac:dyDescent="0.35">
      <c r="I509" s="5"/>
    </row>
    <row r="510" spans="9:9" ht="14.5" x14ac:dyDescent="0.35">
      <c r="I510" s="5"/>
    </row>
    <row r="511" spans="9:9" ht="14.5" x14ac:dyDescent="0.35">
      <c r="I511" s="5"/>
    </row>
    <row r="512" spans="9:9" ht="14.5" x14ac:dyDescent="0.35">
      <c r="I512" s="5"/>
    </row>
    <row r="513" spans="9:9" ht="14.5" x14ac:dyDescent="0.35">
      <c r="I513" s="5"/>
    </row>
    <row r="514" spans="9:9" ht="14.5" x14ac:dyDescent="0.35">
      <c r="I514" s="5"/>
    </row>
    <row r="515" spans="9:9" ht="14.5" x14ac:dyDescent="0.35">
      <c r="I515" s="5"/>
    </row>
    <row r="516" spans="9:9" ht="14.5" x14ac:dyDescent="0.35">
      <c r="I516" s="5"/>
    </row>
    <row r="517" spans="9:9" ht="14.5" x14ac:dyDescent="0.35">
      <c r="I517" s="5"/>
    </row>
    <row r="518" spans="9:9" ht="14.5" x14ac:dyDescent="0.35">
      <c r="I518" s="5"/>
    </row>
    <row r="519" spans="9:9" ht="14.5" x14ac:dyDescent="0.35">
      <c r="I519" s="5"/>
    </row>
    <row r="520" spans="9:9" ht="14.5" x14ac:dyDescent="0.35">
      <c r="I520" s="5"/>
    </row>
    <row r="521" spans="9:9" ht="14.5" x14ac:dyDescent="0.35">
      <c r="I521" s="5"/>
    </row>
    <row r="522" spans="9:9" ht="14.5" x14ac:dyDescent="0.35">
      <c r="I522" s="5"/>
    </row>
    <row r="523" spans="9:9" ht="14.5" x14ac:dyDescent="0.35">
      <c r="I523" s="5"/>
    </row>
    <row r="524" spans="9:9" ht="14.5" x14ac:dyDescent="0.35">
      <c r="I524" s="5"/>
    </row>
    <row r="525" spans="9:9" ht="14.5" x14ac:dyDescent="0.35">
      <c r="I525" s="5"/>
    </row>
    <row r="526" spans="9:9" ht="14.5" x14ac:dyDescent="0.35">
      <c r="I526" s="5"/>
    </row>
    <row r="527" spans="9:9" ht="14.5" x14ac:dyDescent="0.35">
      <c r="I527" s="5"/>
    </row>
    <row r="528" spans="9:9" ht="14.5" x14ac:dyDescent="0.35">
      <c r="I528" s="5"/>
    </row>
    <row r="529" spans="9:9" ht="14.5" x14ac:dyDescent="0.35">
      <c r="I529" s="5"/>
    </row>
    <row r="530" spans="9:9" ht="14.5" x14ac:dyDescent="0.35">
      <c r="I530" s="5"/>
    </row>
    <row r="531" spans="9:9" ht="14.5" x14ac:dyDescent="0.35">
      <c r="I531" s="5"/>
    </row>
    <row r="532" spans="9:9" ht="14.5" x14ac:dyDescent="0.35">
      <c r="I532" s="5"/>
    </row>
    <row r="533" spans="9:9" ht="14.5" x14ac:dyDescent="0.35">
      <c r="I533" s="5"/>
    </row>
    <row r="534" spans="9:9" ht="14.5" x14ac:dyDescent="0.35">
      <c r="I534" s="5"/>
    </row>
    <row r="535" spans="9:9" ht="14.5" x14ac:dyDescent="0.35">
      <c r="I535" s="5"/>
    </row>
    <row r="536" spans="9:9" ht="14.5" x14ac:dyDescent="0.35">
      <c r="I536" s="5"/>
    </row>
    <row r="537" spans="9:9" ht="14.5" x14ac:dyDescent="0.35">
      <c r="I537" s="5"/>
    </row>
    <row r="538" spans="9:9" ht="14.5" x14ac:dyDescent="0.35">
      <c r="I538" s="5"/>
    </row>
    <row r="539" spans="9:9" ht="14.5" x14ac:dyDescent="0.35">
      <c r="I539" s="5"/>
    </row>
    <row r="540" spans="9:9" ht="14.5" x14ac:dyDescent="0.35">
      <c r="I540" s="5"/>
    </row>
    <row r="541" spans="9:9" ht="14.5" x14ac:dyDescent="0.35">
      <c r="I541" s="5"/>
    </row>
    <row r="542" spans="9:9" ht="14.5" x14ac:dyDescent="0.35">
      <c r="I542" s="5"/>
    </row>
    <row r="543" spans="9:9" ht="14.5" x14ac:dyDescent="0.35">
      <c r="I543" s="5"/>
    </row>
    <row r="544" spans="9:9" ht="14.5" x14ac:dyDescent="0.35">
      <c r="I544" s="5"/>
    </row>
    <row r="545" spans="9:9" ht="14.5" x14ac:dyDescent="0.35">
      <c r="I545" s="5"/>
    </row>
    <row r="546" spans="9:9" ht="14.5" x14ac:dyDescent="0.35">
      <c r="I546" s="5"/>
    </row>
    <row r="547" spans="9:9" ht="14.5" x14ac:dyDescent="0.35">
      <c r="I547" s="5"/>
    </row>
    <row r="548" spans="9:9" ht="14.5" x14ac:dyDescent="0.35">
      <c r="I548" s="5"/>
    </row>
    <row r="549" spans="9:9" ht="14.5" x14ac:dyDescent="0.35">
      <c r="I549" s="5"/>
    </row>
    <row r="550" spans="9:9" ht="14.5" x14ac:dyDescent="0.35">
      <c r="I550" s="5"/>
    </row>
    <row r="551" spans="9:9" ht="14.5" x14ac:dyDescent="0.35">
      <c r="I551" s="5"/>
    </row>
    <row r="552" spans="9:9" ht="14.5" x14ac:dyDescent="0.35">
      <c r="I552" s="5"/>
    </row>
    <row r="553" spans="9:9" ht="14.5" x14ac:dyDescent="0.35">
      <c r="I553" s="5"/>
    </row>
    <row r="554" spans="9:9" ht="14.5" x14ac:dyDescent="0.35">
      <c r="I554" s="5"/>
    </row>
    <row r="555" spans="9:9" ht="14.5" x14ac:dyDescent="0.35">
      <c r="I555" s="5"/>
    </row>
    <row r="556" spans="9:9" ht="14.5" x14ac:dyDescent="0.35">
      <c r="I556" s="5"/>
    </row>
    <row r="557" spans="9:9" ht="14.5" x14ac:dyDescent="0.35">
      <c r="I557" s="5"/>
    </row>
    <row r="558" spans="9:9" ht="14.5" x14ac:dyDescent="0.35">
      <c r="I558" s="5"/>
    </row>
    <row r="559" spans="9:9" ht="14.5" x14ac:dyDescent="0.35">
      <c r="I559" s="5"/>
    </row>
    <row r="560" spans="9:9" ht="14.5" x14ac:dyDescent="0.35">
      <c r="I560" s="5"/>
    </row>
    <row r="561" spans="9:9" ht="14.5" x14ac:dyDescent="0.35">
      <c r="I561" s="5"/>
    </row>
    <row r="562" spans="9:9" ht="14.5" x14ac:dyDescent="0.35">
      <c r="I562" s="5"/>
    </row>
    <row r="563" spans="9:9" ht="14.5" x14ac:dyDescent="0.35">
      <c r="I563" s="5"/>
    </row>
    <row r="564" spans="9:9" ht="14.5" x14ac:dyDescent="0.35">
      <c r="I564" s="5"/>
    </row>
    <row r="565" spans="9:9" ht="14.5" x14ac:dyDescent="0.35">
      <c r="I565" s="5"/>
    </row>
    <row r="566" spans="9:9" ht="14.5" x14ac:dyDescent="0.35">
      <c r="I566" s="5"/>
    </row>
    <row r="567" spans="9:9" ht="14.5" x14ac:dyDescent="0.35">
      <c r="I567" s="5"/>
    </row>
    <row r="568" spans="9:9" ht="14.5" x14ac:dyDescent="0.35">
      <c r="I568" s="5"/>
    </row>
    <row r="569" spans="9:9" ht="14.5" x14ac:dyDescent="0.35">
      <c r="I569" s="5"/>
    </row>
    <row r="570" spans="9:9" ht="14.5" x14ac:dyDescent="0.35">
      <c r="I570" s="5"/>
    </row>
    <row r="571" spans="9:9" ht="14.5" x14ac:dyDescent="0.35">
      <c r="I571" s="5"/>
    </row>
    <row r="572" spans="9:9" ht="14.5" x14ac:dyDescent="0.35">
      <c r="I572" s="5"/>
    </row>
    <row r="573" spans="9:9" ht="14.5" x14ac:dyDescent="0.35">
      <c r="I573" s="5"/>
    </row>
    <row r="574" spans="9:9" ht="14.5" x14ac:dyDescent="0.35">
      <c r="I574" s="5"/>
    </row>
    <row r="575" spans="9:9" ht="14.5" x14ac:dyDescent="0.35">
      <c r="I575" s="5"/>
    </row>
    <row r="576" spans="9:9" ht="14.5" x14ac:dyDescent="0.35">
      <c r="I576" s="5"/>
    </row>
    <row r="577" spans="9:9" ht="14.5" x14ac:dyDescent="0.35">
      <c r="I577" s="5"/>
    </row>
    <row r="578" spans="9:9" ht="14.5" x14ac:dyDescent="0.35">
      <c r="I578" s="5"/>
    </row>
    <row r="579" spans="9:9" ht="14.5" x14ac:dyDescent="0.35">
      <c r="I579" s="5"/>
    </row>
    <row r="580" spans="9:9" ht="14.5" x14ac:dyDescent="0.35">
      <c r="I580" s="5"/>
    </row>
    <row r="581" spans="9:9" ht="14.5" x14ac:dyDescent="0.35">
      <c r="I581" s="5"/>
    </row>
    <row r="582" spans="9:9" ht="14.5" x14ac:dyDescent="0.35">
      <c r="I582" s="5"/>
    </row>
    <row r="583" spans="9:9" ht="14.5" x14ac:dyDescent="0.35">
      <c r="I583" s="5"/>
    </row>
    <row r="584" spans="9:9" ht="14.5" x14ac:dyDescent="0.35">
      <c r="I584" s="5"/>
    </row>
    <row r="585" spans="9:9" ht="14.5" x14ac:dyDescent="0.35">
      <c r="I585" s="5"/>
    </row>
    <row r="586" spans="9:9" ht="14.5" x14ac:dyDescent="0.35">
      <c r="I586" s="5"/>
    </row>
    <row r="587" spans="9:9" ht="14.5" x14ac:dyDescent="0.35">
      <c r="I587" s="5"/>
    </row>
    <row r="588" spans="9:9" ht="14.5" x14ac:dyDescent="0.35">
      <c r="I588" s="5"/>
    </row>
    <row r="589" spans="9:9" ht="14.5" x14ac:dyDescent="0.35">
      <c r="I589" s="5"/>
    </row>
    <row r="590" spans="9:9" ht="14.5" x14ac:dyDescent="0.35">
      <c r="I590" s="5"/>
    </row>
    <row r="591" spans="9:9" ht="14.5" x14ac:dyDescent="0.35">
      <c r="I591" s="5"/>
    </row>
    <row r="592" spans="9:9" ht="14.5" x14ac:dyDescent="0.35">
      <c r="I592" s="5"/>
    </row>
    <row r="593" spans="9:9" ht="14.5" x14ac:dyDescent="0.35">
      <c r="I593" s="5"/>
    </row>
    <row r="594" spans="9:9" ht="14.5" x14ac:dyDescent="0.35">
      <c r="I594" s="5"/>
    </row>
    <row r="595" spans="9:9" ht="14.5" x14ac:dyDescent="0.35">
      <c r="I595" s="5"/>
    </row>
    <row r="596" spans="9:9" ht="14.5" x14ac:dyDescent="0.35">
      <c r="I596" s="5"/>
    </row>
    <row r="597" spans="9:9" ht="14.5" x14ac:dyDescent="0.35">
      <c r="I597" s="5"/>
    </row>
    <row r="598" spans="9:9" ht="14.5" x14ac:dyDescent="0.35">
      <c r="I598" s="5"/>
    </row>
    <row r="599" spans="9:9" ht="14.5" x14ac:dyDescent="0.35">
      <c r="I599" s="5"/>
    </row>
    <row r="600" spans="9:9" ht="14.5" x14ac:dyDescent="0.35">
      <c r="I600" s="5"/>
    </row>
    <row r="601" spans="9:9" ht="14.5" x14ac:dyDescent="0.35">
      <c r="I601" s="5"/>
    </row>
    <row r="602" spans="9:9" ht="14.5" x14ac:dyDescent="0.35">
      <c r="I602" s="5"/>
    </row>
    <row r="603" spans="9:9" ht="14.5" x14ac:dyDescent="0.35">
      <c r="I603" s="5"/>
    </row>
    <row r="604" spans="9:9" ht="14.5" x14ac:dyDescent="0.35">
      <c r="I604" s="5"/>
    </row>
    <row r="605" spans="9:9" ht="14.5" x14ac:dyDescent="0.35">
      <c r="I605" s="5"/>
    </row>
    <row r="606" spans="9:9" ht="14.5" x14ac:dyDescent="0.35">
      <c r="I606" s="5"/>
    </row>
    <row r="607" spans="9:9" ht="14.5" x14ac:dyDescent="0.35">
      <c r="I607" s="5"/>
    </row>
    <row r="608" spans="9:9" ht="14.5" x14ac:dyDescent="0.35">
      <c r="I608" s="5"/>
    </row>
    <row r="609" spans="9:9" ht="14.5" x14ac:dyDescent="0.35">
      <c r="I609" s="5"/>
    </row>
    <row r="610" spans="9:9" ht="14.5" x14ac:dyDescent="0.35">
      <c r="I610" s="5"/>
    </row>
    <row r="611" spans="9:9" ht="14.5" x14ac:dyDescent="0.35">
      <c r="I611" s="5"/>
    </row>
    <row r="612" spans="9:9" ht="14.5" x14ac:dyDescent="0.35">
      <c r="I612" s="5"/>
    </row>
    <row r="613" spans="9:9" ht="14.5" x14ac:dyDescent="0.35">
      <c r="I613" s="5"/>
    </row>
    <row r="614" spans="9:9" ht="14.5" x14ac:dyDescent="0.35">
      <c r="I614" s="5"/>
    </row>
    <row r="615" spans="9:9" ht="14.5" x14ac:dyDescent="0.35">
      <c r="I615" s="5"/>
    </row>
    <row r="616" spans="9:9" ht="14.5" x14ac:dyDescent="0.35">
      <c r="I616" s="5"/>
    </row>
    <row r="617" spans="9:9" ht="14.5" x14ac:dyDescent="0.35">
      <c r="I617" s="5"/>
    </row>
    <row r="618" spans="9:9" ht="14.5" x14ac:dyDescent="0.35">
      <c r="I618" s="5"/>
    </row>
    <row r="619" spans="9:9" ht="14.5" x14ac:dyDescent="0.35">
      <c r="I619" s="5"/>
    </row>
    <row r="620" spans="9:9" ht="14.5" x14ac:dyDescent="0.35">
      <c r="I620" s="5"/>
    </row>
    <row r="621" spans="9:9" ht="14.5" x14ac:dyDescent="0.35">
      <c r="I621" s="5"/>
    </row>
    <row r="622" spans="9:9" ht="14.5" x14ac:dyDescent="0.35">
      <c r="I622" s="5"/>
    </row>
    <row r="623" spans="9:9" ht="14.5" x14ac:dyDescent="0.35">
      <c r="I623" s="5"/>
    </row>
    <row r="624" spans="9:9" ht="14.5" x14ac:dyDescent="0.35">
      <c r="I624" s="5"/>
    </row>
    <row r="625" spans="9:9" ht="14.5" x14ac:dyDescent="0.35">
      <c r="I625" s="5"/>
    </row>
    <row r="626" spans="9:9" ht="14.5" x14ac:dyDescent="0.35">
      <c r="I626" s="5"/>
    </row>
    <row r="627" spans="9:9" ht="14.5" x14ac:dyDescent="0.35">
      <c r="I627" s="5"/>
    </row>
    <row r="628" spans="9:9" ht="14.5" x14ac:dyDescent="0.35">
      <c r="I628" s="5"/>
    </row>
    <row r="629" spans="9:9" ht="14.5" x14ac:dyDescent="0.35">
      <c r="I629" s="5"/>
    </row>
    <row r="630" spans="9:9" ht="14.5" x14ac:dyDescent="0.35">
      <c r="I630" s="5"/>
    </row>
    <row r="631" spans="9:9" ht="14.5" x14ac:dyDescent="0.35">
      <c r="I631" s="5"/>
    </row>
    <row r="632" spans="9:9" ht="14.5" x14ac:dyDescent="0.35">
      <c r="I632" s="5"/>
    </row>
    <row r="633" spans="9:9" ht="14.5" x14ac:dyDescent="0.35">
      <c r="I633" s="5"/>
    </row>
    <row r="634" spans="9:9" ht="14.5" x14ac:dyDescent="0.35">
      <c r="I634" s="5"/>
    </row>
    <row r="635" spans="9:9" ht="14.5" x14ac:dyDescent="0.35">
      <c r="I635" s="5"/>
    </row>
    <row r="636" spans="9:9" ht="14.5" x14ac:dyDescent="0.35">
      <c r="I636" s="5"/>
    </row>
    <row r="637" spans="9:9" ht="14.5" x14ac:dyDescent="0.35">
      <c r="I637" s="5"/>
    </row>
    <row r="638" spans="9:9" ht="14.5" x14ac:dyDescent="0.35">
      <c r="I638" s="5"/>
    </row>
    <row r="639" spans="9:9" ht="14.5" x14ac:dyDescent="0.35">
      <c r="I639" s="5"/>
    </row>
    <row r="640" spans="9:9" ht="14.5" x14ac:dyDescent="0.35">
      <c r="I640" s="5"/>
    </row>
    <row r="641" spans="9:9" ht="14.5" x14ac:dyDescent="0.35">
      <c r="I641" s="5"/>
    </row>
    <row r="642" spans="9:9" ht="14.5" x14ac:dyDescent="0.35">
      <c r="I642" s="5"/>
    </row>
    <row r="643" spans="9:9" ht="14.5" x14ac:dyDescent="0.35">
      <c r="I643" s="5"/>
    </row>
    <row r="644" spans="9:9" ht="14.5" x14ac:dyDescent="0.35">
      <c r="I644" s="5"/>
    </row>
    <row r="645" spans="9:9" ht="14.5" x14ac:dyDescent="0.35">
      <c r="I645" s="5"/>
    </row>
    <row r="646" spans="9:9" ht="14.5" x14ac:dyDescent="0.35">
      <c r="I646" s="5"/>
    </row>
    <row r="647" spans="9:9" ht="14.5" x14ac:dyDescent="0.35">
      <c r="I647" s="5"/>
    </row>
    <row r="648" spans="9:9" ht="14.5" x14ac:dyDescent="0.35">
      <c r="I648" s="5"/>
    </row>
    <row r="649" spans="9:9" ht="14.5" x14ac:dyDescent="0.35">
      <c r="I649" s="5"/>
    </row>
    <row r="650" spans="9:9" ht="14.5" x14ac:dyDescent="0.35">
      <c r="I650" s="5"/>
    </row>
    <row r="651" spans="9:9" ht="14.5" x14ac:dyDescent="0.35">
      <c r="I651" s="5"/>
    </row>
    <row r="652" spans="9:9" ht="14.5" x14ac:dyDescent="0.35">
      <c r="I652" s="5"/>
    </row>
  </sheetData>
  <mergeCells count="25"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opdown:" prompt="Ja/yes_x000a_Nein/no_x000a_n.v./n.a." xr:uid="{00000000-0002-0000-0100-000000000000}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 xr:uid="{00000000-0002-0000-0100-000001000000}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zoomScaleNormal="100" workbookViewId="0">
      <selection activeCell="C49" sqref="C49"/>
    </sheetView>
  </sheetViews>
  <sheetFormatPr baseColWidth="10" defaultColWidth="9.1796875" defaultRowHeight="14.5" outlineLevelRow="1" x14ac:dyDescent="0.35"/>
  <cols>
    <col min="1" max="1" width="3.81640625" style="1" customWidth="1"/>
    <col min="2" max="2" width="36.54296875" style="1" bestFit="1" customWidth="1"/>
    <col min="3" max="4" width="12.7265625" style="3" customWidth="1"/>
    <col min="5" max="16384" width="9.1796875" style="1"/>
  </cols>
  <sheetData>
    <row r="1" spans="1:5" s="34" customFormat="1" ht="23.25" customHeight="1" thickBot="1" x14ac:dyDescent="0.4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3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35">
      <c r="B4" s="189" t="str">
        <f>INDEX([2]Language!$D$2:$X$300,SUM([2]Language!AB207),IF([2]Overview!$A$1="EN",3,11))</f>
        <v>Overview</v>
      </c>
      <c r="C4" s="190"/>
      <c r="D4" s="189" t="str">
        <f>INDEX([2]Language!$D$2:$X$300,SUM([2]Language!AD207),IF([2]Overview!$A$1="EN",5,13))</f>
        <v>volume</v>
      </c>
    </row>
    <row r="5" spans="1:5" x14ac:dyDescent="0.3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35">
      <c r="B6" s="38" t="str">
        <f>INDEX([2]Language!$D$2:$X$300,SUM([2]Language!AB209),IF([2]Overview!$A$1="EN",3,11))</f>
        <v>Bonds</v>
      </c>
      <c r="C6" s="36"/>
      <c r="D6" s="200">
        <v>80855200</v>
      </c>
    </row>
    <row r="7" spans="1:5" x14ac:dyDescent="0.35">
      <c r="B7" s="51" t="str">
        <f>INDEX([2]Language!$D$2:$X$300,SUM([2]Language!AB210),IF([2]Overview!$A$1="EN",3,11))</f>
        <v xml:space="preserve">    thereof National Bank eligible</v>
      </c>
      <c r="C7" s="52"/>
      <c r="D7" s="200">
        <v>69378400</v>
      </c>
    </row>
    <row r="8" spans="1:5" x14ac:dyDescent="0.35">
      <c r="B8" s="191" t="str">
        <f>INDEX([2]Language!$D$2:$X$300,SUM([2]Language!AB211),IF([2]Overview!$A$1="EN",3,11))</f>
        <v>Total</v>
      </c>
      <c r="C8" s="191"/>
      <c r="D8" s="187">
        <f>SUM(D5:D6)</f>
        <v>80855200</v>
      </c>
    </row>
    <row r="9" spans="1:5" x14ac:dyDescent="0.35">
      <c r="B9" s="191" t="str">
        <f>INDEX([2]Language!$D$2:$X$300,SUM([2]Language!AB212),IF([2]Overview!$A$1="EN",3,11))</f>
        <v>Additional cover pool (in % of total issues)</v>
      </c>
      <c r="C9" s="191"/>
      <c r="D9" s="188">
        <f>D8/[3]Primärdeckung!$C$14</f>
        <v>1.8528008529861913E-2</v>
      </c>
      <c r="E9" s="80"/>
    </row>
    <row r="11" spans="1:5" x14ac:dyDescent="0.35">
      <c r="B11" s="189" t="str">
        <f>INDEX([2]Language!$D$2:$X$300,SUM([2]Language!AB214),IF([2]Overview!$A$1="EN",3,11))</f>
        <v>Bonds by volume</v>
      </c>
      <c r="C11" s="190" t="str">
        <f>INDEX([2]Language!$D$2:$X$300,SUM([2]Language!AC214),IF([2]Overview!$A$1="EN",4,12))</f>
        <v>volume</v>
      </c>
      <c r="D11" s="192" t="str">
        <f>INDEX([2]Language!$D$2:$X$300,SUM([2]Language!AD214),IF([2]Overview!$A$1="EN",5,13))</f>
        <v>number</v>
      </c>
    </row>
    <row r="12" spans="1:5" x14ac:dyDescent="0.35">
      <c r="B12" s="38" t="str">
        <f>INDEX([2]Language!$D$2:$X$300,SUM([2]Language!AB215),IF([2]Overview!$A$1="EN",3,11))</f>
        <v>≤  1.000.000</v>
      </c>
      <c r="C12" s="64"/>
      <c r="D12" s="48"/>
    </row>
    <row r="13" spans="1:5" x14ac:dyDescent="0.35">
      <c r="B13" s="38" t="str">
        <f>INDEX([2]Language!$D$2:$X$300,SUM([2]Language!AB216),IF([2]Overview!$A$1="EN",3,11))</f>
        <v>1.000.000 - 5.000.000</v>
      </c>
      <c r="C13" s="201">
        <v>10000000</v>
      </c>
      <c r="D13" s="202">
        <v>3</v>
      </c>
    </row>
    <row r="14" spans="1:5" x14ac:dyDescent="0.35">
      <c r="B14" s="38" t="str">
        <f>INDEX([2]Language!$D$2:$X$300,SUM([2]Language!AB217),IF([2]Overview!$A$1="EN",3,11))</f>
        <v>≥ 5.000.000</v>
      </c>
      <c r="C14" s="201">
        <v>70855200</v>
      </c>
      <c r="D14" s="202">
        <v>7</v>
      </c>
    </row>
    <row r="15" spans="1:5" x14ac:dyDescent="0.35">
      <c r="B15" s="191" t="str">
        <f>INDEX([2]Language!$D$2:$X$300,SUM([2]Language!AB218),IF([2]Overview!$A$1="EN",3,11))</f>
        <v>Total</v>
      </c>
      <c r="C15" s="193">
        <f>SUM(C12:C14)</f>
        <v>80855200</v>
      </c>
      <c r="D15" s="194">
        <f>SUM(D12:D14)</f>
        <v>10</v>
      </c>
    </row>
    <row r="17" spans="2:4" x14ac:dyDescent="0.35">
      <c r="B17" s="189" t="str">
        <f>INDEX([2]Language!$D$2:$X$300,SUM([2]Language!AB220),IF([2]Overview!$A$1="EN",3,11))</f>
        <v>Additional cover pool by currencies</v>
      </c>
      <c r="C17" s="190" t="str">
        <f>INDEX([2]Language!$D$2:$X$300,SUM([2]Language!AC220),IF([2]Overview!$A$1="EN",4,12))</f>
        <v>volume</v>
      </c>
      <c r="D17" s="192" t="str">
        <f>INDEX([2]Language!$D$2:$X$300,SUM([2]Language!AD220),IF([2]Overview!$A$1="EN",5,13))</f>
        <v>%</v>
      </c>
    </row>
    <row r="18" spans="2:4" x14ac:dyDescent="0.35">
      <c r="B18" s="38" t="str">
        <f>INDEX([2]Language!$D$2:$X$300,SUM([2]Language!AB221),IF([2]Overview!$A$1="EN",3,11))</f>
        <v>EUR</v>
      </c>
      <c r="C18" s="201">
        <v>80855200</v>
      </c>
      <c r="D18" s="196">
        <f>IF(($C$23=0),0,(C18/$C$23))</f>
        <v>1</v>
      </c>
    </row>
    <row r="19" spans="2:4" x14ac:dyDescent="0.35">
      <c r="B19" s="38" t="str">
        <f>INDEX([2]Language!$D$2:$X$300,SUM([2]Language!AB222),IF([2]Overview!$A$1="EN",3,11))</f>
        <v>CHF</v>
      </c>
      <c r="C19" s="64"/>
      <c r="D19" s="196">
        <f>IF(($C$23=0),0,(C19/$C$23))</f>
        <v>0</v>
      </c>
    </row>
    <row r="20" spans="2:4" x14ac:dyDescent="0.35">
      <c r="B20" s="38" t="str">
        <f>INDEX([2]Language!$D$2:$X$300,SUM([2]Language!AB223),IF([2]Overview!$A$1="EN",3,11))</f>
        <v>USD</v>
      </c>
      <c r="C20" s="64"/>
      <c r="D20" s="196">
        <f>IF(($C$23=0),0,(C20/$C$23))</f>
        <v>0</v>
      </c>
    </row>
    <row r="21" spans="2:4" x14ac:dyDescent="0.35">
      <c r="B21" s="38" t="str">
        <f>INDEX([2]Language!$D$2:$X$300,SUM([2]Language!AB224),IF([2]Overview!$A$1="EN",3,11))</f>
        <v>JPY</v>
      </c>
      <c r="C21" s="64"/>
      <c r="D21" s="196">
        <f>IF(($C$23=0),0,(C21/$C$23))</f>
        <v>0</v>
      </c>
    </row>
    <row r="22" spans="2:4" x14ac:dyDescent="0.35">
      <c r="B22" s="38" t="str">
        <f>INDEX([2]Language!$D$2:$X$300,SUM([2]Language!AB225),IF([2]Overview!$A$1="EN",3,11))</f>
        <v>Other currencies</v>
      </c>
      <c r="C22" s="64"/>
      <c r="D22" s="196">
        <f>IF(($C$23=0),0,(C22/$C$23))</f>
        <v>0</v>
      </c>
    </row>
    <row r="23" spans="2:4" x14ac:dyDescent="0.35">
      <c r="B23" s="191" t="str">
        <f>INDEX([2]Language!$D$2:$X$300,SUM([2]Language!AB226),IF([2]Overview!$A$1="EN",3,11))</f>
        <v>Total</v>
      </c>
      <c r="C23" s="193">
        <f>SUM(C18:C22)</f>
        <v>80855200</v>
      </c>
      <c r="D23" s="195">
        <f>SUM(D18:D22)</f>
        <v>1</v>
      </c>
    </row>
    <row r="25" spans="2:4" x14ac:dyDescent="0.35">
      <c r="B25" s="189" t="str">
        <f>INDEX([2]Language!$D$2:$X$300,SUM([2]Language!AB228),IF([2]Overview!$A$1="EN",3,11))</f>
        <v>Regional distribution of additional cover pool</v>
      </c>
      <c r="C25" s="190" t="str">
        <f>INDEX([2]Language!$D$2:$X$300,SUM([2]Language!AC228),IF([2]Overview!$A$1="EN",4,12))</f>
        <v>Volumen</v>
      </c>
      <c r="D25" s="192" t="str">
        <f>INDEX([2]Language!$D$2:$X$300,SUM([2]Language!AD228),IF([2]Overview!$A$1="EN",5,13))</f>
        <v>%</v>
      </c>
    </row>
    <row r="26" spans="2:4" x14ac:dyDescent="0.35">
      <c r="B26" s="41" t="str">
        <f>INDEX([2]Language!$D$2:$X$300,SUM([2]Language!AB229),IF([2]Overview!$A$1="EN",3,11))</f>
        <v>EU member states</v>
      </c>
      <c r="C26" s="197">
        <f>SUM(C27:C54)</f>
        <v>80855200</v>
      </c>
      <c r="D26" s="198">
        <f>SUM(D27:D54)</f>
        <v>1</v>
      </c>
    </row>
    <row r="27" spans="2:4" outlineLevel="1" x14ac:dyDescent="0.35">
      <c r="B27" s="38" t="str">
        <f>INDEX([2]Language!$D$2:$X$300,SUM([2]Language!AB230),IF([2]Overview!$A$1="EN",3,11))</f>
        <v>Austria</v>
      </c>
      <c r="C27" s="203">
        <v>40855200</v>
      </c>
      <c r="D27" s="199">
        <f>IF(($C$61=0),0,(C27/$C$61))</f>
        <v>0.50528846629530322</v>
      </c>
    </row>
    <row r="28" spans="2:4" outlineLevel="1" x14ac:dyDescent="0.35">
      <c r="B28" s="38" t="str">
        <f>INDEX([2]Language!$D$2:$X$300,SUM([2]Language!AB231),IF([2]Overview!$A$1="EN",3,11))</f>
        <v>Belgium</v>
      </c>
      <c r="C28" s="81"/>
      <c r="D28" s="199">
        <f t="shared" ref="D28:D54" si="0">IF(($C$61=0),0,(C28/$C$61))</f>
        <v>0</v>
      </c>
    </row>
    <row r="29" spans="2:4" outlineLevel="1" x14ac:dyDescent="0.35">
      <c r="B29" s="38" t="str">
        <f>INDEX([2]Language!$D$2:$X$300,SUM([2]Language!AB232),IF([2]Overview!$A$1="EN",3,11))</f>
        <v>Bulgaria</v>
      </c>
      <c r="C29" s="81"/>
      <c r="D29" s="199">
        <f t="shared" si="0"/>
        <v>0</v>
      </c>
    </row>
    <row r="30" spans="2:4" outlineLevel="1" x14ac:dyDescent="0.35">
      <c r="B30" s="38" t="str">
        <f>INDEX([2]Language!$D$2:$X$300,SUM([2]Language!AB233),IF([2]Overview!$A$1="EN",3,11))</f>
        <v>Croatia</v>
      </c>
      <c r="C30" s="81"/>
      <c r="D30" s="199">
        <f t="shared" si="0"/>
        <v>0</v>
      </c>
    </row>
    <row r="31" spans="2:4" outlineLevel="1" x14ac:dyDescent="0.35">
      <c r="B31" s="38" t="str">
        <f>INDEX([2]Language!$D$2:$X$300,SUM([2]Language!AB234),IF([2]Overview!$A$1="EN",3,11))</f>
        <v>Cyprus</v>
      </c>
      <c r="C31" s="81"/>
      <c r="D31" s="199">
        <f t="shared" si="0"/>
        <v>0</v>
      </c>
    </row>
    <row r="32" spans="2:4" outlineLevel="1" x14ac:dyDescent="0.35">
      <c r="B32" s="38" t="str">
        <f>INDEX([2]Language!$D$2:$X$300,SUM([2]Language!AB235),IF([2]Overview!$A$1="EN",3,11))</f>
        <v>Czech Republic</v>
      </c>
      <c r="C32" s="203">
        <v>13000000</v>
      </c>
      <c r="D32" s="199">
        <f t="shared" si="0"/>
        <v>0.16078124845402647</v>
      </c>
    </row>
    <row r="33" spans="2:4" outlineLevel="1" x14ac:dyDescent="0.35">
      <c r="B33" s="38" t="str">
        <f>INDEX([2]Language!$D$2:$X$300,SUM([2]Language!AB236),IF([2]Overview!$A$1="EN",3,11))</f>
        <v>Denmark</v>
      </c>
      <c r="C33" s="81"/>
      <c r="D33" s="199">
        <f t="shared" si="0"/>
        <v>0</v>
      </c>
    </row>
    <row r="34" spans="2:4" outlineLevel="1" x14ac:dyDescent="0.35">
      <c r="B34" s="38" t="str">
        <f>INDEX([2]Language!$D$2:$X$300,SUM([2]Language!AB237),IF([2]Overview!$A$1="EN",3,11))</f>
        <v>Estonia</v>
      </c>
      <c r="C34" s="81"/>
      <c r="D34" s="199">
        <f t="shared" si="0"/>
        <v>0</v>
      </c>
    </row>
    <row r="35" spans="2:4" outlineLevel="1" x14ac:dyDescent="0.35">
      <c r="B35" s="38" t="str">
        <f>INDEX([2]Language!$D$2:$X$300,SUM([2]Language!AB238),IF([2]Overview!$A$1="EN",3,11))</f>
        <v>Finnland</v>
      </c>
      <c r="C35" s="81"/>
      <c r="D35" s="199">
        <f t="shared" si="0"/>
        <v>0</v>
      </c>
    </row>
    <row r="36" spans="2:4" outlineLevel="1" x14ac:dyDescent="0.35">
      <c r="B36" s="38" t="str">
        <f>INDEX([2]Language!$D$2:$X$300,SUM([2]Language!AB239),IF([2]Overview!$A$1="EN",3,11))</f>
        <v>France</v>
      </c>
      <c r="C36" s="81"/>
      <c r="D36" s="199">
        <f t="shared" si="0"/>
        <v>0</v>
      </c>
    </row>
    <row r="37" spans="2:4" outlineLevel="1" x14ac:dyDescent="0.35">
      <c r="B37" s="38" t="str">
        <f>INDEX([2]Language!$D$2:$X$300,SUM([2]Language!AB240),IF([2]Overview!$A$1="EN",3,11))</f>
        <v>Germany</v>
      </c>
      <c r="C37" s="81"/>
      <c r="D37" s="199">
        <f t="shared" si="0"/>
        <v>0</v>
      </c>
    </row>
    <row r="38" spans="2:4" outlineLevel="1" x14ac:dyDescent="0.35">
      <c r="B38" s="38" t="str">
        <f>INDEX([2]Language!$D$2:$X$300,SUM([2]Language!AB241),IF([2]Overview!$A$1="EN",3,11))</f>
        <v>Greece</v>
      </c>
      <c r="C38" s="81"/>
      <c r="D38" s="199">
        <f t="shared" si="0"/>
        <v>0</v>
      </c>
    </row>
    <row r="39" spans="2:4" outlineLevel="1" x14ac:dyDescent="0.35">
      <c r="B39" s="38" t="str">
        <f>INDEX([2]Language!$D$2:$X$300,SUM([2]Language!AB242),IF([2]Overview!$A$1="EN",3,11))</f>
        <v>Hungary</v>
      </c>
      <c r="C39" s="81"/>
      <c r="D39" s="199">
        <f t="shared" si="0"/>
        <v>0</v>
      </c>
    </row>
    <row r="40" spans="2:4" outlineLevel="1" x14ac:dyDescent="0.35">
      <c r="B40" s="38" t="str">
        <f>INDEX([2]Language!$D$2:$X$300,SUM([2]Language!AB243),IF([2]Overview!$A$1="EN",3,11))</f>
        <v>Irland</v>
      </c>
      <c r="C40" s="81"/>
      <c r="D40" s="199">
        <f t="shared" si="0"/>
        <v>0</v>
      </c>
    </row>
    <row r="41" spans="2:4" outlineLevel="1" x14ac:dyDescent="0.35">
      <c r="B41" s="38" t="str">
        <f>INDEX([2]Language!$D$2:$X$300,SUM([2]Language!AB244),IF([2]Overview!$A$1="EN",3,11))</f>
        <v>Italy</v>
      </c>
      <c r="C41" s="81"/>
      <c r="D41" s="199">
        <f t="shared" si="0"/>
        <v>0</v>
      </c>
    </row>
    <row r="42" spans="2:4" outlineLevel="1" x14ac:dyDescent="0.35">
      <c r="B42" s="38" t="str">
        <f>INDEX([2]Language!$D$2:$X$300,SUM([2]Language!AB245),IF([2]Overview!$A$1="EN",3,11))</f>
        <v>Latvia</v>
      </c>
      <c r="C42" s="81"/>
      <c r="D42" s="199">
        <f t="shared" si="0"/>
        <v>0</v>
      </c>
    </row>
    <row r="43" spans="2:4" outlineLevel="1" x14ac:dyDescent="0.35">
      <c r="B43" s="38" t="str">
        <f>INDEX([2]Language!$D$2:$X$300,SUM([2]Language!AB246),IF([2]Overview!$A$1="EN",3,11))</f>
        <v>Lituania</v>
      </c>
      <c r="C43" s="81"/>
      <c r="D43" s="199">
        <f t="shared" si="0"/>
        <v>0</v>
      </c>
    </row>
    <row r="44" spans="2:4" outlineLevel="1" x14ac:dyDescent="0.35">
      <c r="B44" s="38" t="str">
        <f>INDEX([2]Language!$D$2:$X$300,SUM([2]Language!AB247),IF([2]Overview!$A$1="EN",3,11))</f>
        <v>Luxembourg</v>
      </c>
      <c r="C44" s="81"/>
      <c r="D44" s="199">
        <f t="shared" si="0"/>
        <v>0</v>
      </c>
    </row>
    <row r="45" spans="2:4" outlineLevel="1" x14ac:dyDescent="0.35">
      <c r="B45" s="38" t="str">
        <f>INDEX([2]Language!$D$2:$X$300,SUM([2]Language!AB248),IF([2]Overview!$A$1="EN",3,11))</f>
        <v>Malta</v>
      </c>
      <c r="C45" s="81"/>
      <c r="D45" s="199">
        <f t="shared" si="0"/>
        <v>0</v>
      </c>
    </row>
    <row r="46" spans="2:4" outlineLevel="1" x14ac:dyDescent="0.35">
      <c r="B46" s="38" t="str">
        <f>INDEX([2]Language!$D$2:$X$300,SUM([2]Language!AB249),IF([2]Overview!$A$1="EN",3,11))</f>
        <v>Poland</v>
      </c>
      <c r="C46" s="81"/>
      <c r="D46" s="199">
        <f t="shared" si="0"/>
        <v>0</v>
      </c>
    </row>
    <row r="47" spans="2:4" outlineLevel="1" x14ac:dyDescent="0.35">
      <c r="B47" s="38" t="str">
        <f>INDEX([2]Language!$D$2:$X$300,SUM([2]Language!AB250),IF([2]Overview!$A$1="EN",3,11))</f>
        <v>Portugal</v>
      </c>
      <c r="C47" s="81"/>
      <c r="D47" s="199">
        <f t="shared" si="0"/>
        <v>0</v>
      </c>
    </row>
    <row r="48" spans="2:4" outlineLevel="1" x14ac:dyDescent="0.35">
      <c r="B48" s="38" t="str">
        <f>INDEX([2]Language!$D$2:$X$300,SUM([2]Language!AB251),IF([2]Overview!$A$1="EN",3,11))</f>
        <v>Romania</v>
      </c>
      <c r="C48" s="81"/>
      <c r="D48" s="199">
        <f t="shared" si="0"/>
        <v>0</v>
      </c>
    </row>
    <row r="49" spans="2:4" outlineLevel="1" x14ac:dyDescent="0.35">
      <c r="B49" s="38" t="str">
        <f>INDEX([2]Language!$D$2:$X$300,SUM([2]Language!AB252),IF([2]Overview!$A$1="EN",3,11))</f>
        <v>Slovakia</v>
      </c>
      <c r="C49" s="203">
        <v>27000000</v>
      </c>
      <c r="D49" s="199">
        <f t="shared" si="0"/>
        <v>0.33393028525067031</v>
      </c>
    </row>
    <row r="50" spans="2:4" outlineLevel="1" x14ac:dyDescent="0.35">
      <c r="B50" s="38" t="str">
        <f>INDEX([2]Language!$D$2:$X$300,SUM([2]Language!AB253),IF([2]Overview!$A$1="EN",3,11))</f>
        <v>Slovenia</v>
      </c>
      <c r="C50" s="81"/>
      <c r="D50" s="199">
        <f t="shared" si="0"/>
        <v>0</v>
      </c>
    </row>
    <row r="51" spans="2:4" outlineLevel="1" x14ac:dyDescent="0.35">
      <c r="B51" s="38" t="str">
        <f>INDEX([2]Language!$D$2:$X$300,SUM([2]Language!AB254),IF([2]Overview!$A$1="EN",3,11))</f>
        <v>Spain</v>
      </c>
      <c r="C51" s="81"/>
      <c r="D51" s="199">
        <f t="shared" si="0"/>
        <v>0</v>
      </c>
    </row>
    <row r="52" spans="2:4" outlineLevel="1" x14ac:dyDescent="0.35">
      <c r="B52" s="38" t="str">
        <f>INDEX([2]Language!$D$2:$X$300,SUM([2]Language!AB255),IF([2]Overview!$A$1="EN",3,11))</f>
        <v>Sweden</v>
      </c>
      <c r="C52" s="81"/>
      <c r="D52" s="199">
        <f t="shared" si="0"/>
        <v>0</v>
      </c>
    </row>
    <row r="53" spans="2:4" outlineLevel="1" x14ac:dyDescent="0.35">
      <c r="B53" s="38" t="str">
        <f>INDEX([2]Language!$D$2:$X$300,SUM([2]Language!AB256),IF([2]Overview!$A$1="EN",3,11))</f>
        <v>The Netherlands</v>
      </c>
      <c r="C53" s="81"/>
      <c r="D53" s="199">
        <f t="shared" si="0"/>
        <v>0</v>
      </c>
    </row>
    <row r="54" spans="2:4" outlineLevel="1" x14ac:dyDescent="0.35">
      <c r="B54" s="38" t="str">
        <f>INDEX([2]Language!$D$2:$X$300,SUM([2]Language!AB257),IF([2]Overview!$A$1="EN",3,11))</f>
        <v>UK</v>
      </c>
      <c r="C54" s="81"/>
      <c r="D54" s="199">
        <f t="shared" si="0"/>
        <v>0</v>
      </c>
    </row>
    <row r="55" spans="2:4" x14ac:dyDescent="0.35">
      <c r="B55" s="41" t="str">
        <f>INDEX([2]Language!$D$2:$X$300,SUM([2]Language!AB258),IF([2]Overview!$A$1="EN",3,11))</f>
        <v>EEA member states</v>
      </c>
      <c r="C55" s="197">
        <f>SUM(C56:C58)</f>
        <v>0</v>
      </c>
      <c r="D55" s="198">
        <f>SUM(D56:D58)</f>
        <v>0</v>
      </c>
    </row>
    <row r="56" spans="2:4" outlineLevel="1" x14ac:dyDescent="0.3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3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3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35">
      <c r="B59" s="41" t="str">
        <f>INDEX([2]Language!$D$2:$X$300,SUM([2]Language!AB262),IF([2]Overview!$A$1="EN",3,11))</f>
        <v>other countries</v>
      </c>
      <c r="C59" s="65"/>
      <c r="D59" s="198">
        <f>IF(($C$61=0),0,(C59/$C$61))</f>
        <v>0</v>
      </c>
    </row>
    <row r="60" spans="2:4" x14ac:dyDescent="0.35">
      <c r="B60" s="41" t="str">
        <f>INDEX([2]Language!$D$2:$X$300,SUM([2]Language!AB263),IF([2]Overview!$A$1="EN",3,11))</f>
        <v>Switzerland</v>
      </c>
      <c r="C60" s="65"/>
      <c r="D60" s="198">
        <f>IF(($C$61=0),0,(C60/$C$61))</f>
        <v>0</v>
      </c>
    </row>
    <row r="61" spans="2:4" x14ac:dyDescent="0.35">
      <c r="B61" s="189" t="str">
        <f>INDEX([2]Language!$D$2:$X$300,SUM([2]Language!AB264),IF([2]Overview!$A$1="EN",3,11))</f>
        <v>Total</v>
      </c>
      <c r="C61" s="193">
        <f>C26+C55+C59+C60</f>
        <v>80855200</v>
      </c>
      <c r="D61" s="195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4.5" x14ac:dyDescent="0.35"/>
  <cols>
    <col min="2" max="2" width="11.453125" style="122"/>
    <col min="3" max="3" width="2.54296875" bestFit="1" customWidth="1"/>
    <col min="4" max="4" width="78.7265625" bestFit="1" customWidth="1"/>
    <col min="5" max="7" width="12.54296875" customWidth="1"/>
    <col min="8" max="8" width="13.81640625" customWidth="1"/>
    <col min="10" max="10" width="11.7265625" bestFit="1" customWidth="1"/>
    <col min="27" max="27" width="9.1796875" style="135"/>
    <col min="28" max="34" width="9.1796875" style="2" customWidth="1"/>
    <col min="35" max="35" width="12.7265625" style="4" customWidth="1"/>
  </cols>
  <sheetData>
    <row r="1" spans="1:35" ht="15.5" x14ac:dyDescent="0.3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" thickBot="1" x14ac:dyDescent="0.4">
      <c r="A2" t="s">
        <v>207</v>
      </c>
      <c r="B2" s="122">
        <v>1</v>
      </c>
      <c r="C2" s="84"/>
      <c r="D2" s="84" t="s">
        <v>0</v>
      </c>
      <c r="E2" s="231" t="s">
        <v>169</v>
      </c>
      <c r="F2" s="231"/>
      <c r="G2" s="231"/>
      <c r="H2" s="84"/>
      <c r="I2" s="84" t="s">
        <v>0</v>
      </c>
      <c r="J2" s="204" t="s">
        <v>169</v>
      </c>
      <c r="K2" s="204"/>
      <c r="L2" s="204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5" x14ac:dyDescent="0.3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5" x14ac:dyDescent="0.3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5" x14ac:dyDescent="0.3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5" x14ac:dyDescent="0.3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" thickBot="1" x14ac:dyDescent="0.4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5" x14ac:dyDescent="0.3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" thickBot="1" x14ac:dyDescent="0.4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5" x14ac:dyDescent="0.3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5" x14ac:dyDescent="0.3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5" x14ac:dyDescent="0.3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5" x14ac:dyDescent="0.3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5" x14ac:dyDescent="0.3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5" x14ac:dyDescent="0.3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5" x14ac:dyDescent="0.3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5" x14ac:dyDescent="0.3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5" x14ac:dyDescent="0.3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5" x14ac:dyDescent="0.3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5" x14ac:dyDescent="0.3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5" x14ac:dyDescent="0.3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5" x14ac:dyDescent="0.3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5" x14ac:dyDescent="0.3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5" x14ac:dyDescent="0.3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5" x14ac:dyDescent="0.3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5" x14ac:dyDescent="0.3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5" x14ac:dyDescent="0.3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5" x14ac:dyDescent="0.3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5" x14ac:dyDescent="0.3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5" x14ac:dyDescent="0.3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5" x14ac:dyDescent="0.3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5" x14ac:dyDescent="0.3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5" x14ac:dyDescent="0.3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5" x14ac:dyDescent="0.3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" thickBot="1" x14ac:dyDescent="0.4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" thickBot="1" x14ac:dyDescent="0.4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5" x14ac:dyDescent="0.3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5" x14ac:dyDescent="0.3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5" x14ac:dyDescent="0.3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5" x14ac:dyDescent="0.3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5" x14ac:dyDescent="0.3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5" x14ac:dyDescent="0.3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5" x14ac:dyDescent="0.3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5" x14ac:dyDescent="0.3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5" x14ac:dyDescent="0.3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5" x14ac:dyDescent="0.3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5" x14ac:dyDescent="0.3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5" x14ac:dyDescent="0.3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5" x14ac:dyDescent="0.3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" thickBot="1" x14ac:dyDescent="0.4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5" x14ac:dyDescent="0.3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5" x14ac:dyDescent="0.3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5" x14ac:dyDescent="0.3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5" x14ac:dyDescent="0.3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5" x14ac:dyDescent="0.3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5" x14ac:dyDescent="0.3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5" x14ac:dyDescent="0.3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5" x14ac:dyDescent="0.3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5" x14ac:dyDescent="0.3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5" x14ac:dyDescent="0.3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5" x14ac:dyDescent="0.3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3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3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3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" thickBot="1" x14ac:dyDescent="0.4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3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2.5" x14ac:dyDescent="0.3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3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3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3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3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3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3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3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3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3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3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3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3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3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3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3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3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3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3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3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3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3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3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3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3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3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3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3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3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3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3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3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3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3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3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3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3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3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3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3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13" t="s">
        <v>266</v>
      </c>
      <c r="K106" s="214"/>
      <c r="M106" s="2"/>
      <c r="N106" s="18"/>
      <c r="O106" s="19" t="s">
        <v>24</v>
      </c>
      <c r="P106" s="22"/>
      <c r="Q106" s="22"/>
      <c r="R106" s="19" t="s">
        <v>80</v>
      </c>
      <c r="S106" s="213" t="s">
        <v>117</v>
      </c>
      <c r="T106" s="214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3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23">
        <f>IF(($C$69=0),0,(F107/$C$69))</f>
        <v>0</v>
      </c>
      <c r="K107" s="224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23">
        <f>IF(($C$69=0),0,(O107/$C$69))</f>
        <v>0</v>
      </c>
      <c r="T107" s="224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3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23">
        <f t="shared" ref="J108:J114" si="5">IF(($C$69=0),0,(F108/$C$69))</f>
        <v>0</v>
      </c>
      <c r="K108" s="224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23">
        <f t="shared" ref="S108:S115" si="7">IF(($C$69=0),0,(O108/$C$69))</f>
        <v>0</v>
      </c>
      <c r="T108" s="224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3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23">
        <f t="shared" si="5"/>
        <v>0</v>
      </c>
      <c r="K109" s="224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23">
        <f t="shared" si="7"/>
        <v>0</v>
      </c>
      <c r="T109" s="224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3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23">
        <f t="shared" si="5"/>
        <v>0</v>
      </c>
      <c r="K110" s="224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23">
        <f t="shared" si="7"/>
        <v>0</v>
      </c>
      <c r="T110" s="224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3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23">
        <f t="shared" si="5"/>
        <v>0</v>
      </c>
      <c r="K111" s="224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23">
        <f t="shared" si="7"/>
        <v>0</v>
      </c>
      <c r="T111" s="224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3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23">
        <f t="shared" si="5"/>
        <v>0</v>
      </c>
      <c r="K112" s="224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23">
        <f t="shared" si="7"/>
        <v>0</v>
      </c>
      <c r="T112" s="224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3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23">
        <f t="shared" si="5"/>
        <v>0</v>
      </c>
      <c r="K113" s="224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23">
        <f t="shared" si="7"/>
        <v>0</v>
      </c>
      <c r="T113" s="224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3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23">
        <f t="shared" si="5"/>
        <v>0</v>
      </c>
      <c r="K114" s="224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23">
        <f t="shared" si="7"/>
        <v>0</v>
      </c>
      <c r="T114" s="224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3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23">
        <f>IF(($C$69=0),0,(F115/$C$69))</f>
        <v>0</v>
      </c>
      <c r="K115" s="224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23">
        <f t="shared" si="7"/>
        <v>0</v>
      </c>
      <c r="T115" s="224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3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23">
        <f>IF(($C$69=0),0,(F116/$C$69))</f>
        <v>0</v>
      </c>
      <c r="K116" s="224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23">
        <f>IF(($C$69=0),0,(O116/$C$69))</f>
        <v>0</v>
      </c>
      <c r="T116" s="224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3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27">
        <f>SUM(J107:K116)</f>
        <v>0</v>
      </c>
      <c r="K117" s="228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27">
        <f>SUM(S107:T116)</f>
        <v>0</v>
      </c>
      <c r="T117" s="228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3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" thickBot="1" x14ac:dyDescent="0.4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3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35">
      <c r="B121" s="122">
        <v>120</v>
      </c>
      <c r="D121" s="2"/>
      <c r="E121" s="225" t="s">
        <v>274</v>
      </c>
      <c r="F121" s="226"/>
      <c r="G121" s="119"/>
      <c r="H121" s="119"/>
      <c r="I121" s="119" t="s">
        <v>217</v>
      </c>
      <c r="J121" s="209" t="s">
        <v>41</v>
      </c>
      <c r="K121" s="210"/>
      <c r="M121" s="2"/>
      <c r="N121" s="225" t="s">
        <v>160</v>
      </c>
      <c r="O121" s="226"/>
      <c r="P121" s="127"/>
      <c r="Q121" s="127"/>
      <c r="R121" s="127" t="s">
        <v>24</v>
      </c>
      <c r="S121" s="209" t="s">
        <v>41</v>
      </c>
      <c r="T121" s="210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35">
      <c r="B122" s="122">
        <v>121</v>
      </c>
      <c r="D122" s="2"/>
      <c r="E122" s="229" t="s">
        <v>275</v>
      </c>
      <c r="F122" s="230"/>
      <c r="G122" s="8"/>
      <c r="H122" s="8"/>
      <c r="I122" s="67">
        <v>20000000</v>
      </c>
      <c r="J122" s="223">
        <f>IF(($F$95=0),0,(I122/$F$95))</f>
        <v>1</v>
      </c>
      <c r="K122" s="224"/>
      <c r="M122" s="2"/>
      <c r="N122" s="232" t="s">
        <v>158</v>
      </c>
      <c r="O122" s="220"/>
      <c r="P122" s="8"/>
      <c r="Q122" s="8"/>
      <c r="R122" s="67">
        <v>9999999999</v>
      </c>
      <c r="S122" s="223">
        <f>IF(($F$95=0),0,(R122/$F$95))</f>
        <v>499.99999995000002</v>
      </c>
      <c r="T122" s="224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35">
      <c r="B123" s="122">
        <v>122</v>
      </c>
      <c r="D123" s="2"/>
      <c r="E123" s="221" t="s">
        <v>276</v>
      </c>
      <c r="F123" s="222"/>
      <c r="G123" s="8"/>
      <c r="H123" s="8"/>
      <c r="I123" s="67">
        <v>20000000</v>
      </c>
      <c r="J123" s="223">
        <f>IF(($F$95=0),0,(I123/$F$95))</f>
        <v>1</v>
      </c>
      <c r="K123" s="224"/>
      <c r="M123" s="2"/>
      <c r="N123" s="232" t="s">
        <v>155</v>
      </c>
      <c r="O123" s="220"/>
      <c r="P123" s="8"/>
      <c r="Q123" s="8"/>
      <c r="R123" s="67">
        <v>0</v>
      </c>
      <c r="S123" s="223">
        <f t="shared" ref="S123:S128" si="8">IF(($F$95=0),0,(R123/$F$95))</f>
        <v>0</v>
      </c>
      <c r="T123" s="224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35">
      <c r="B124" s="122">
        <v>123</v>
      </c>
      <c r="D124" s="2"/>
      <c r="E124" s="221" t="s">
        <v>277</v>
      </c>
      <c r="F124" s="222"/>
      <c r="G124" s="8"/>
      <c r="H124" s="8"/>
      <c r="I124" s="67">
        <v>20000000</v>
      </c>
      <c r="J124" s="223">
        <f t="shared" ref="J124:J128" si="9">IF(($F$95=0),0,(I124/$F$95))</f>
        <v>1</v>
      </c>
      <c r="K124" s="224"/>
      <c r="M124" s="2"/>
      <c r="N124" s="219" t="s">
        <v>154</v>
      </c>
      <c r="O124" s="233"/>
      <c r="P124" s="8"/>
      <c r="Q124" s="8"/>
      <c r="R124" s="67">
        <v>0</v>
      </c>
      <c r="S124" s="223">
        <f t="shared" si="8"/>
        <v>0</v>
      </c>
      <c r="T124" s="224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35">
      <c r="B125" s="122">
        <v>124</v>
      </c>
      <c r="D125" s="2"/>
      <c r="E125" s="221" t="s">
        <v>278</v>
      </c>
      <c r="F125" s="222"/>
      <c r="G125" s="8"/>
      <c r="H125" s="8"/>
      <c r="I125" s="67">
        <v>20000000</v>
      </c>
      <c r="J125" s="223">
        <f t="shared" si="9"/>
        <v>1</v>
      </c>
      <c r="K125" s="224"/>
      <c r="M125" s="2"/>
      <c r="N125" s="232" t="s">
        <v>157</v>
      </c>
      <c r="O125" s="220"/>
      <c r="P125" s="8"/>
      <c r="Q125" s="8"/>
      <c r="R125" s="67">
        <v>9999999999</v>
      </c>
      <c r="S125" s="223">
        <f t="shared" si="8"/>
        <v>499.99999995000002</v>
      </c>
      <c r="T125" s="224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35">
      <c r="B126" s="122">
        <v>125</v>
      </c>
      <c r="D126" s="2"/>
      <c r="E126" s="221" t="s">
        <v>279</v>
      </c>
      <c r="F126" s="222"/>
      <c r="G126" s="8"/>
      <c r="H126" s="8"/>
      <c r="I126" s="67">
        <v>20000000</v>
      </c>
      <c r="J126" s="223">
        <f t="shared" si="9"/>
        <v>1</v>
      </c>
      <c r="K126" s="224"/>
      <c r="M126" s="2"/>
      <c r="N126" s="232" t="s">
        <v>156</v>
      </c>
      <c r="O126" s="220"/>
      <c r="P126" s="8"/>
      <c r="Q126" s="8"/>
      <c r="R126" s="67">
        <v>559101638.75</v>
      </c>
      <c r="S126" s="223">
        <f t="shared" si="8"/>
        <v>27.955081937500001</v>
      </c>
      <c r="T126" s="224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35">
      <c r="B127" s="122">
        <v>126</v>
      </c>
      <c r="D127" s="2"/>
      <c r="E127" s="221" t="s">
        <v>280</v>
      </c>
      <c r="F127" s="222"/>
      <c r="G127" s="8"/>
      <c r="H127" s="8"/>
      <c r="I127" s="67">
        <v>20000000</v>
      </c>
      <c r="J127" s="223">
        <f t="shared" si="9"/>
        <v>1</v>
      </c>
      <c r="K127" s="224"/>
      <c r="M127" s="2"/>
      <c r="N127" s="232" t="s">
        <v>159</v>
      </c>
      <c r="O127" s="220"/>
      <c r="P127" s="8"/>
      <c r="Q127" s="8"/>
      <c r="R127" s="67">
        <v>442366849.20999998</v>
      </c>
      <c r="S127" s="223">
        <f t="shared" si="8"/>
        <v>22.118342460499999</v>
      </c>
      <c r="T127" s="224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35">
      <c r="B128" s="122">
        <v>127</v>
      </c>
      <c r="D128" s="2"/>
      <c r="E128" s="221" t="s">
        <v>281</v>
      </c>
      <c r="F128" s="222"/>
      <c r="G128" s="8"/>
      <c r="H128" s="8"/>
      <c r="I128" s="67">
        <v>20000000</v>
      </c>
      <c r="J128" s="223">
        <f t="shared" si="9"/>
        <v>1</v>
      </c>
      <c r="K128" s="224"/>
      <c r="M128" s="2"/>
      <c r="N128" s="232" t="s">
        <v>168</v>
      </c>
      <c r="O128" s="220"/>
      <c r="P128" s="8"/>
      <c r="Q128" s="8"/>
      <c r="R128" s="67">
        <v>2333333</v>
      </c>
      <c r="S128" s="223">
        <f t="shared" si="8"/>
        <v>0.11666665</v>
      </c>
      <c r="T128" s="224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35">
      <c r="B129" s="122">
        <v>128</v>
      </c>
      <c r="D129" s="2"/>
      <c r="E129" s="225" t="s">
        <v>224</v>
      </c>
      <c r="F129" s="226"/>
      <c r="G129" s="23"/>
      <c r="H129" s="23"/>
      <c r="I129" s="72">
        <f>SUM(I122:I128)</f>
        <v>140000000</v>
      </c>
      <c r="J129" s="227">
        <f>SUM(J122:K128)</f>
        <v>7</v>
      </c>
      <c r="K129" s="228"/>
      <c r="M129" s="2"/>
      <c r="N129" s="225" t="s">
        <v>30</v>
      </c>
      <c r="O129" s="226"/>
      <c r="P129" s="23"/>
      <c r="Q129" s="23"/>
      <c r="R129" s="72">
        <f>SUM(R122:R128)</f>
        <v>21003801818.959999</v>
      </c>
      <c r="S129" s="227">
        <f>SUM(S122:T128)</f>
        <v>1050.190090948</v>
      </c>
      <c r="T129" s="228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3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" thickBot="1" x14ac:dyDescent="0.4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3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35">
      <c r="B133" s="122">
        <v>132</v>
      </c>
      <c r="D133" s="2"/>
      <c r="E133" s="32" t="s">
        <v>282</v>
      </c>
      <c r="F133" s="33"/>
      <c r="G133" s="33"/>
      <c r="H133" s="33"/>
      <c r="I133" s="33"/>
      <c r="J133" s="207">
        <v>5</v>
      </c>
      <c r="K133" s="208"/>
      <c r="M133" s="2"/>
      <c r="N133" s="32" t="s">
        <v>177</v>
      </c>
      <c r="O133" s="33"/>
      <c r="P133" s="33"/>
      <c r="Q133" s="33"/>
      <c r="R133" s="33"/>
      <c r="S133" s="207">
        <v>5</v>
      </c>
      <c r="T133" s="208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3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3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3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3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3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3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3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3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3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" thickBot="1" x14ac:dyDescent="0.4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3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3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35">
      <c r="B146" s="122">
        <v>145</v>
      </c>
      <c r="D146" s="2"/>
      <c r="E146" s="219" t="s">
        <v>290</v>
      </c>
      <c r="F146" s="220"/>
      <c r="G146" s="220"/>
      <c r="H146" s="220"/>
      <c r="I146" s="220"/>
      <c r="J146" s="220"/>
      <c r="K146" s="133">
        <v>5</v>
      </c>
      <c r="M146" s="2"/>
      <c r="N146" s="217" t="s">
        <v>172</v>
      </c>
      <c r="O146" s="216"/>
      <c r="P146" s="216"/>
      <c r="Q146" s="216"/>
      <c r="R146" s="216"/>
      <c r="S146" s="216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35">
      <c r="B147" s="122">
        <v>146</v>
      </c>
      <c r="D147" s="2"/>
      <c r="E147" s="219" t="s">
        <v>291</v>
      </c>
      <c r="F147" s="220"/>
      <c r="G147" s="220"/>
      <c r="H147" s="220"/>
      <c r="I147" s="220"/>
      <c r="J147" s="220"/>
      <c r="K147" s="133">
        <v>5</v>
      </c>
      <c r="M147" s="2"/>
      <c r="N147" s="215" t="s">
        <v>173</v>
      </c>
      <c r="O147" s="216"/>
      <c r="P147" s="216"/>
      <c r="Q147" s="216"/>
      <c r="R147" s="216"/>
      <c r="S147" s="216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35">
      <c r="B148" s="122">
        <v>147</v>
      </c>
      <c r="D148" s="2"/>
      <c r="E148" s="219" t="s">
        <v>292</v>
      </c>
      <c r="F148" s="220"/>
      <c r="G148" s="220"/>
      <c r="H148" s="220"/>
      <c r="I148" s="220"/>
      <c r="J148" s="220"/>
      <c r="K148" s="133">
        <v>5</v>
      </c>
      <c r="M148" s="2"/>
      <c r="N148" s="217" t="s">
        <v>146</v>
      </c>
      <c r="O148" s="218"/>
      <c r="P148" s="218"/>
      <c r="Q148" s="218"/>
      <c r="R148" s="218"/>
      <c r="S148" s="218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3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3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3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3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3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3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3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3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3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3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3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3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3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3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3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3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3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3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3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3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3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3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3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3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" thickBot="1" x14ac:dyDescent="0.4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3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3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3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3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3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3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3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3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3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3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35">
      <c r="B184" s="122">
        <v>183</v>
      </c>
    </row>
    <row r="185" spans="2:24" x14ac:dyDescent="0.35">
      <c r="B185" s="122">
        <v>184</v>
      </c>
      <c r="T185" s="141"/>
      <c r="U185" s="141"/>
      <c r="V185" s="141"/>
      <c r="W185" s="141"/>
      <c r="X185" s="141"/>
    </row>
    <row r="186" spans="2:24" ht="16" thickBot="1" x14ac:dyDescent="0.4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5" x14ac:dyDescent="0.3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3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3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3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3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3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3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3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3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3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3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3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3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3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3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3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3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3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3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3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3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3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3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3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3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3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3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3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3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3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3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3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3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3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3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3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3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3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3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3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3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3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3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3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3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3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3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3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3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3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3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3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3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3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3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3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3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3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3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3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35">
      <c r="V247" s="141"/>
      <c r="W247" s="141"/>
      <c r="X247" s="141"/>
    </row>
    <row r="248" spans="2:24" x14ac:dyDescent="0.35">
      <c r="T248" s="141"/>
      <c r="U248" s="141"/>
      <c r="V248" s="141"/>
      <c r="W248" s="141"/>
      <c r="X248" s="141"/>
    </row>
  </sheetData>
  <mergeCells count="70">
    <mergeCell ref="N148:S148"/>
    <mergeCell ref="N129:O129"/>
    <mergeCell ref="S129:T129"/>
    <mergeCell ref="S133:T133"/>
    <mergeCell ref="N146:S146"/>
    <mergeCell ref="N147:S147"/>
    <mergeCell ref="N126:O126"/>
    <mergeCell ref="S126:T126"/>
    <mergeCell ref="N127:O127"/>
    <mergeCell ref="S127:T127"/>
    <mergeCell ref="N128:O128"/>
    <mergeCell ref="S128:T128"/>
    <mergeCell ref="N123:O123"/>
    <mergeCell ref="S123:T123"/>
    <mergeCell ref="N124:O124"/>
    <mergeCell ref="S124:T124"/>
    <mergeCell ref="N125:O125"/>
    <mergeCell ref="S125:T125"/>
    <mergeCell ref="S116:T116"/>
    <mergeCell ref="S117:T117"/>
    <mergeCell ref="N121:O121"/>
    <mergeCell ref="S121:T121"/>
    <mergeCell ref="N122:O122"/>
    <mergeCell ref="S122:T122"/>
    <mergeCell ref="S111:T111"/>
    <mergeCell ref="S112:T112"/>
    <mergeCell ref="S113:T113"/>
    <mergeCell ref="S114:T114"/>
    <mergeCell ref="S115:T115"/>
    <mergeCell ref="S106:T106"/>
    <mergeCell ref="S107:T107"/>
    <mergeCell ref="S108:T108"/>
    <mergeCell ref="S109:T109"/>
    <mergeCell ref="S110:T110"/>
    <mergeCell ref="E2:G2"/>
    <mergeCell ref="J2:L2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E121:F121"/>
    <mergeCell ref="J121:K121"/>
    <mergeCell ref="E122:F122"/>
    <mergeCell ref="J122:K122"/>
    <mergeCell ref="E123:F123"/>
    <mergeCell ref="J123:K123"/>
    <mergeCell ref="E124:F124"/>
    <mergeCell ref="J124:K124"/>
    <mergeCell ref="E125:F125"/>
    <mergeCell ref="J125:K125"/>
    <mergeCell ref="E126:F126"/>
    <mergeCell ref="J126:K126"/>
    <mergeCell ref="E127:F127"/>
    <mergeCell ref="J127:K127"/>
    <mergeCell ref="E146:J146"/>
    <mergeCell ref="E147:J147"/>
    <mergeCell ref="E148:J148"/>
    <mergeCell ref="E128:F128"/>
    <mergeCell ref="J128:K128"/>
    <mergeCell ref="E129:F129"/>
    <mergeCell ref="J129:K129"/>
    <mergeCell ref="J133:K13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2018-07-10T08:37:34Z</cp:lastPrinted>
  <dcterms:created xsi:type="dcterms:W3CDTF">2013-10-29T11:27:30Z</dcterms:created>
  <dcterms:modified xsi:type="dcterms:W3CDTF">2019-10-17T11:29:53Z</dcterms:modified>
</cp:coreProperties>
</file>