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2\2022-03\"/>
    </mc:Choice>
  </mc:AlternateContent>
  <xr:revisionPtr revIDLastSave="0" documentId="13_ncr:1_{9ADC9B4A-37EC-4D22-8D26-4ECA3B1C5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Overview!$D$33</definedName>
    <definedName name="ANZAHL_SCHULDNER">Overview!$D$18</definedName>
    <definedName name="_xlnm.Print_Area" localSheetId="2">Ersatzdeckung!$A$1:$E$63</definedName>
    <definedName name="_xlnm.Print_Area" localSheetId="0">Overview!$A$1:$E$34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Overview!$D$33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2" l="1"/>
  <c r="F91" i="2"/>
  <c r="F93" i="2"/>
  <c r="D30" i="1" l="1"/>
  <c r="D20" i="1"/>
  <c r="D21" i="1"/>
  <c r="C55" i="3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C123" i="2"/>
  <c r="C107" i="2"/>
  <c r="F95" i="2"/>
  <c r="C83" i="2"/>
  <c r="C34" i="2"/>
  <c r="C69" i="2"/>
  <c r="H122" i="2" l="1"/>
  <c r="H118" i="2"/>
  <c r="H121" i="2"/>
  <c r="H120" i="2"/>
  <c r="H119" i="2"/>
  <c r="D122" i="2"/>
  <c r="D121" i="2"/>
  <c r="D120" i="2"/>
  <c r="D118" i="2"/>
  <c r="D119" i="2"/>
  <c r="D106" i="2"/>
  <c r="D105" i="2"/>
  <c r="D104" i="2"/>
  <c r="D103" i="2"/>
  <c r="D102" i="2"/>
  <c r="G92" i="2"/>
  <c r="G89" i="2"/>
  <c r="G94" i="2"/>
  <c r="G88" i="2"/>
  <c r="G93" i="2"/>
  <c r="G90" i="2"/>
  <c r="G91" i="2"/>
  <c r="F81" i="2"/>
  <c r="F82" i="2"/>
  <c r="F74" i="2"/>
  <c r="F80" i="2"/>
  <c r="F77" i="2"/>
  <c r="F73" i="2"/>
  <c r="F79" i="2"/>
  <c r="F75" i="2"/>
  <c r="F78" i="2"/>
  <c r="F76" i="2"/>
  <c r="G81" i="2"/>
  <c r="G75" i="2"/>
  <c r="G80" i="2"/>
  <c r="G76" i="2"/>
  <c r="G74" i="2"/>
  <c r="G82" i="2"/>
  <c r="G79" i="2"/>
  <c r="G78" i="2"/>
  <c r="G77" i="2"/>
  <c r="G73" i="2"/>
  <c r="D26" i="3"/>
  <c r="D53" i="2"/>
  <c r="D38" i="2"/>
  <c r="D47" i="2"/>
  <c r="D66" i="2"/>
  <c r="D50" i="2"/>
  <c r="D51" i="2"/>
  <c r="D35" i="2"/>
  <c r="D55" i="2"/>
  <c r="D57" i="2"/>
  <c r="D52" i="2"/>
  <c r="D42" i="2"/>
  <c r="D48" i="2"/>
  <c r="D67" i="2"/>
  <c r="D59" i="2"/>
  <c r="D65" i="2"/>
  <c r="D49" i="2"/>
  <c r="D68" i="2"/>
  <c r="D36" i="2"/>
  <c r="D39" i="2"/>
  <c r="D40" i="2"/>
  <c r="D41" i="2"/>
  <c r="D43" i="2"/>
  <c r="D44" i="2"/>
  <c r="D64" i="2"/>
  <c r="D60" i="2"/>
  <c r="D45" i="2"/>
  <c r="D61" i="2"/>
  <c r="D37" i="2"/>
  <c r="D54" i="2"/>
  <c r="D56" i="2"/>
  <c r="D58" i="2"/>
  <c r="D46" i="2"/>
  <c r="D62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G83" i="2"/>
  <c r="G95" i="2"/>
  <c r="D58" i="3"/>
  <c r="D57" i="3"/>
  <c r="D56" i="3"/>
  <c r="D69" i="2" l="1"/>
  <c r="D55" i="3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3" i="1"/>
  <c r="C21" i="1"/>
  <c r="C20" i="1"/>
  <c r="C13" i="1"/>
  <c r="C12" i="1"/>
  <c r="G103" i="5" l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  <c r="D33" i="1" l="1"/>
</calcChain>
</file>

<file path=xl/sharedStrings.xml><?xml version="1.0" encoding="utf-8"?>
<sst xmlns="http://schemas.openxmlformats.org/spreadsheetml/2006/main" count="636" uniqueCount="321">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</sst>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  <numFmt numFmtId="171" formatCode="#,##0.0000000,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9" fontId="2" fillId="4" borderId="12" xfId="1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71" fontId="0" fillId="0" borderId="0" xfId="0" applyNumberFormat="1" applyFill="1"/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9" fontId="3" fillId="0" borderId="11" xfId="1" applyNumberFormat="1" applyFont="1" applyFill="1" applyBorder="1" applyAlignment="1">
      <alignment horizontal="center"/>
    </xf>
    <xf numFmtId="9" fontId="3" fillId="0" borderId="12" xfId="1" applyNumberFormat="1" applyFont="1" applyFill="1" applyBorder="1" applyAlignment="1">
      <alignment horizont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914925726.39999998</c:v>
                </c:pt>
                <c:pt idx="1">
                  <c:v>872257807.10000002</c:v>
                </c:pt>
                <c:pt idx="2">
                  <c:v>553438472.88</c:v>
                </c:pt>
                <c:pt idx="3">
                  <c:v>938358566.69000006</c:v>
                </c:pt>
                <c:pt idx="4">
                  <c:v>1279691646.4595656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697473991.13444245</c:v>
                </c:pt>
                <c:pt idx="1">
                  <c:v>322913693.03287131</c:v>
                </c:pt>
                <c:pt idx="2">
                  <c:v>247222055.94</c:v>
                </c:pt>
                <c:pt idx="3">
                  <c:v>387251794.37</c:v>
                </c:pt>
                <c:pt idx="4">
                  <c:v>894323348.84494305</c:v>
                </c:pt>
                <c:pt idx="5">
                  <c:v>2009487336.2073088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80469630.454943016</c:v>
                </c:pt>
                <c:pt idx="1">
                  <c:v>171445511.60462257</c:v>
                </c:pt>
                <c:pt idx="2">
                  <c:v>195949181.78999999</c:v>
                </c:pt>
                <c:pt idx="3">
                  <c:v>767639877.20000005</c:v>
                </c:pt>
                <c:pt idx="4">
                  <c:v>3343168018.48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538000000</c:v>
                </c:pt>
                <c:pt idx="1">
                  <c:v>550150000</c:v>
                </c:pt>
                <c:pt idx="2">
                  <c:v>1618000000</c:v>
                </c:pt>
                <c:pt idx="3">
                  <c:v>1051000000</c:v>
                </c:pt>
                <c:pt idx="4">
                  <c:v>295673602.88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914925726.39999998</c:v>
                </c:pt>
                <c:pt idx="1">
                  <c:v>872257807.10000002</c:v>
                </c:pt>
                <c:pt idx="2">
                  <c:v>553438472.88</c:v>
                </c:pt>
                <c:pt idx="3">
                  <c:v>938358566.69000006</c:v>
                </c:pt>
                <c:pt idx="4">
                  <c:v>1279691646.4595656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697473991.13444245</c:v>
                </c:pt>
                <c:pt idx="1">
                  <c:v>322913693.03287131</c:v>
                </c:pt>
                <c:pt idx="2">
                  <c:v>247222055.94</c:v>
                </c:pt>
                <c:pt idx="3">
                  <c:v>387251794.37</c:v>
                </c:pt>
                <c:pt idx="4">
                  <c:v>894323348.84494305</c:v>
                </c:pt>
                <c:pt idx="5">
                  <c:v>2009487336.2073088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80469630.454943016</c:v>
                </c:pt>
                <c:pt idx="1">
                  <c:v>171445511.60462257</c:v>
                </c:pt>
                <c:pt idx="2">
                  <c:v>195949181.78999999</c:v>
                </c:pt>
                <c:pt idx="3">
                  <c:v>767639877.20000005</c:v>
                </c:pt>
                <c:pt idx="4">
                  <c:v>3343168018.48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538000000</c:v>
                </c:pt>
                <c:pt idx="1">
                  <c:v>550150000</c:v>
                </c:pt>
                <c:pt idx="2">
                  <c:v>1618000000</c:v>
                </c:pt>
                <c:pt idx="3">
                  <c:v>1051000000</c:v>
                </c:pt>
                <c:pt idx="4">
                  <c:v>295673602.88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21/2021-03/Pfandbriefforumsreport%20&#246;ffentlicher%20Pfandbrief%2031.03.2021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/>
      <sheetData sheetId="1">
        <row r="14">
          <cell r="C14">
            <v>4324875674.9807816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B39" sqref="B39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7" width="9.5703125" style="80" bestFit="1" customWidth="1"/>
    <col min="8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13" t="s">
        <v>315</v>
      </c>
      <c r="D1" s="213"/>
      <c r="E1" s="213"/>
      <c r="F1" s="161"/>
    </row>
    <row r="2" spans="1:6" x14ac:dyDescent="0.25">
      <c r="B2" s="80" t="str">
        <f>INDEX(Language!D2:M33,2,IF(A1="EN",1,6))</f>
        <v>Report Date</v>
      </c>
      <c r="D2" s="86">
        <v>44651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200">
        <v>0.16342060387375462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198">
        <v>4052823602.8800001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198">
        <v>4639998769.5295658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7" ht="16.5" customHeight="1" x14ac:dyDescent="0.25">
      <c r="B17" s="94" t="str">
        <f>INDEX(Language!D2:M33,17,IF(A1="EN",1,6))</f>
        <v>Number of loans</v>
      </c>
      <c r="C17" s="95"/>
      <c r="D17" s="199">
        <v>48497</v>
      </c>
      <c r="E17" s="94"/>
      <c r="F17" s="151"/>
    </row>
    <row r="18" spans="2:7" ht="16.5" customHeight="1" x14ac:dyDescent="0.25">
      <c r="B18" s="94" t="str">
        <f>INDEX(Language!D2:M33,18,IF(A1="EN",1,6))</f>
        <v>Number of borrowers</v>
      </c>
      <c r="C18" s="95"/>
      <c r="D18" s="199">
        <v>42040</v>
      </c>
      <c r="E18" s="94"/>
      <c r="F18" s="151"/>
    </row>
    <row r="19" spans="2:7" ht="16.5" customHeight="1" x14ac:dyDescent="0.25">
      <c r="B19" s="94" t="str">
        <f>INDEX(Language!D2:M33,19,IF(A1="EN",1,6))</f>
        <v>Number of garantors</v>
      </c>
      <c r="C19" s="95"/>
      <c r="D19" s="199">
        <v>103</v>
      </c>
      <c r="E19" s="94"/>
      <c r="F19" s="151"/>
    </row>
    <row r="20" spans="2:7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198">
        <f>GESAMTBETRAG_DECKUNG/ANZAHL_SCHULDNER</f>
        <v>110371.04589746827</v>
      </c>
      <c r="E20" s="94"/>
      <c r="F20" s="165"/>
      <c r="G20" s="212"/>
    </row>
    <row r="21" spans="2:7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198">
        <f>GESAMTBETRAG_DECKUNG/ANZAHL_ASSETS</f>
        <v>95675.995825093632</v>
      </c>
      <c r="E21" s="94"/>
      <c r="F21" s="165"/>
      <c r="G21" s="212"/>
    </row>
    <row r="22" spans="2:7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200">
        <v>0</v>
      </c>
      <c r="E22" s="94"/>
      <c r="F22" s="163"/>
    </row>
    <row r="23" spans="2:7" ht="16.5" customHeight="1" x14ac:dyDescent="0.25">
      <c r="B23" s="94" t="str">
        <f>INDEX(Language!D2:M33,23,IF(A1="EN",1,6))</f>
        <v>Share of 10 largest loans (% of primary cover pool)</v>
      </c>
      <c r="C23" s="95"/>
      <c r="D23" s="200">
        <v>0.1470595461410871</v>
      </c>
      <c r="E23" s="94"/>
      <c r="F23" s="163"/>
    </row>
    <row r="24" spans="2:7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200">
        <v>0.55521108927126617</v>
      </c>
      <c r="E24" s="94"/>
      <c r="F24" s="163"/>
    </row>
    <row r="25" spans="2:7" ht="16.5" customHeight="1" x14ac:dyDescent="0.25">
      <c r="B25" s="94" t="str">
        <f>INDEX(Language!D2:M33,25,IF(A1="EN",1,6))</f>
        <v>Share of bullet loans (% of primary cover pool)</v>
      </c>
      <c r="C25" s="95"/>
      <c r="D25" s="200">
        <v>6.2092358536756487E-2</v>
      </c>
      <c r="E25" s="94"/>
      <c r="F25" s="163"/>
    </row>
    <row r="26" spans="2:7" ht="16.5" customHeight="1" x14ac:dyDescent="0.25">
      <c r="B26" s="100" t="str">
        <f>INDEX(Language!D2:M33,26,IF(A1="EN",1,6))</f>
        <v>Share of loans in foreign currency (% of primary cover pool)</v>
      </c>
      <c r="C26" s="95"/>
      <c r="D26" s="200">
        <v>1.6197942256788455E-2</v>
      </c>
      <c r="E26" s="94"/>
      <c r="F26" s="163"/>
    </row>
    <row r="27" spans="2:7" ht="16.5" customHeight="1" x14ac:dyDescent="0.25">
      <c r="B27" s="94" t="str">
        <f>INDEX(Language!D2:M33,27,IF(A1="EN",1,6))</f>
        <v>Share of issues in foreign currency (% of primary cover pool)</v>
      </c>
      <c r="C27" s="95"/>
      <c r="D27" s="200">
        <v>0</v>
      </c>
      <c r="E27" s="94"/>
      <c r="F27" s="163"/>
    </row>
    <row r="28" spans="2:7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200">
        <v>0.50307381201632029</v>
      </c>
      <c r="E28" s="94"/>
      <c r="F28" s="163"/>
    </row>
    <row r="29" spans="2:7" ht="16.5" customHeight="1" x14ac:dyDescent="0.25">
      <c r="B29" s="94" t="s">
        <v>320</v>
      </c>
      <c r="C29" s="95"/>
      <c r="D29" s="200">
        <v>0</v>
      </c>
      <c r="E29" s="94"/>
      <c r="F29" s="163"/>
    </row>
    <row r="30" spans="2:7" ht="16.5" customHeight="1" x14ac:dyDescent="0.25">
      <c r="B30" s="94" t="str">
        <f>INDEX(Language!D2:M33,29,IF(A1="EN",1,6))</f>
        <v>Nominal over-collateralisation (total cover pool / outstanding issues in %)</v>
      </c>
      <c r="C30" s="95"/>
      <c r="D30" s="200">
        <f>IF(ISERROR(GESAMTBETRAG_DECKUNG/GESAMTBETRAG_EMISSIONEN),"",GESAMTBETRAG_DECKUNG/GESAMTBETRAG_EMISSIONEN-1)</f>
        <v>0.1448805139785283</v>
      </c>
      <c r="E30" s="160"/>
      <c r="F30" s="163"/>
    </row>
    <row r="31" spans="2:7" ht="16.5" customHeight="1" x14ac:dyDescent="0.25">
      <c r="B31" s="94" t="str">
        <f>INDEX(Language!D2:M33,30,IF(A1="EN",1,6))</f>
        <v>Present value over-collateralisation (PV total cover pool / PV outstanding issues in %)</v>
      </c>
      <c r="C31" s="95"/>
      <c r="D31" s="200">
        <v>0.27381019416784691</v>
      </c>
      <c r="E31" s="94"/>
      <c r="F31" s="163"/>
    </row>
    <row r="32" spans="2:7" ht="16.5" customHeight="1" x14ac:dyDescent="0.25">
      <c r="B32" s="94" t="str">
        <f>INDEX(Language!D2:M33,31,IF(A1="EN",1,6))</f>
        <v>Number of issues</v>
      </c>
      <c r="C32" s="95"/>
      <c r="D32" s="199">
        <v>47</v>
      </c>
      <c r="E32" s="94"/>
      <c r="F32" s="151"/>
    </row>
    <row r="33" spans="2:6" ht="16.5" customHeight="1" x14ac:dyDescent="0.25">
      <c r="B33" s="94" t="str">
        <f>INDEX(Language!D2:M33,32,IF(A1="EN",1,6))</f>
        <v>Average issue size</v>
      </c>
      <c r="C33" s="95" t="str">
        <f>INDEX(Language!D2:M33,32,IF(A1="EN",2,7))</f>
        <v>in mn</v>
      </c>
      <c r="D33" s="208">
        <f ca="1">IF(ANZAHL_EMISSIONEN&gt;0,GESAMTBETRAG_EMISSIONEN/ANZAHL_EMISSIONEN,"")</f>
        <v>86230289.422978729</v>
      </c>
      <c r="E33" s="94"/>
      <c r="F33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topLeftCell="A97" zoomScaleNormal="100" zoomScalePageLayoutView="85" workbookViewId="0">
      <selection activeCell="L146" sqref="L146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1020387684.1673138</v>
      </c>
      <c r="D6" s="176">
        <f>SUM(D7:D8)</f>
        <v>46724</v>
      </c>
      <c r="I6" s="5"/>
    </row>
    <row r="7" spans="1:9" ht="15" x14ac:dyDescent="0.25">
      <c r="A7" s="57" t="s">
        <v>128</v>
      </c>
      <c r="B7" s="175" t="s">
        <v>123</v>
      </c>
      <c r="C7" s="201">
        <v>697473991.13444245</v>
      </c>
      <c r="D7" s="202">
        <v>45003</v>
      </c>
      <c r="I7" s="5"/>
    </row>
    <row r="8" spans="1:9" ht="15" x14ac:dyDescent="0.25">
      <c r="A8" s="57" t="s">
        <v>130</v>
      </c>
      <c r="B8" s="175" t="s">
        <v>124</v>
      </c>
      <c r="C8" s="201">
        <v>322913693.03287131</v>
      </c>
      <c r="D8" s="202">
        <v>1721</v>
      </c>
      <c r="I8" s="5"/>
    </row>
    <row r="9" spans="1:9" ht="15" x14ac:dyDescent="0.25">
      <c r="A9" s="57"/>
      <c r="B9" s="177" t="s">
        <v>27</v>
      </c>
      <c r="C9" s="103">
        <f>SUM(C10:C12)</f>
        <v>1528797199.154943</v>
      </c>
      <c r="D9" s="176">
        <f>SUM(D10:D12)</f>
        <v>1654</v>
      </c>
      <c r="I9" s="5"/>
    </row>
    <row r="10" spans="1:9" ht="15" x14ac:dyDescent="0.25">
      <c r="A10" s="57" t="s">
        <v>131</v>
      </c>
      <c r="B10" s="177" t="s">
        <v>125</v>
      </c>
      <c r="C10" s="201">
        <v>247222055.94</v>
      </c>
      <c r="D10" s="202">
        <v>634</v>
      </c>
      <c r="I10" s="5"/>
    </row>
    <row r="11" spans="1:9" ht="15" x14ac:dyDescent="0.25">
      <c r="A11" s="57" t="s">
        <v>132</v>
      </c>
      <c r="B11" s="177" t="s">
        <v>126</v>
      </c>
      <c r="C11" s="201">
        <v>387251794.37</v>
      </c>
      <c r="D11" s="202">
        <v>563</v>
      </c>
      <c r="I11" s="5"/>
    </row>
    <row r="12" spans="1:9" ht="15" x14ac:dyDescent="0.25">
      <c r="A12" s="57" t="s">
        <v>133</v>
      </c>
      <c r="B12" s="177" t="s">
        <v>127</v>
      </c>
      <c r="C12" s="201">
        <v>894323348.84494305</v>
      </c>
      <c r="D12" s="202">
        <v>457</v>
      </c>
      <c r="I12" s="5"/>
    </row>
    <row r="13" spans="1:9" ht="15" x14ac:dyDescent="0.25">
      <c r="A13" s="57" t="s">
        <v>134</v>
      </c>
      <c r="B13" s="177" t="s">
        <v>29</v>
      </c>
      <c r="C13" s="201">
        <v>2009487336.2073088</v>
      </c>
      <c r="D13" s="202">
        <v>113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4558672219.5295658</v>
      </c>
      <c r="D14" s="181">
        <f>D13+D9+D6</f>
        <v>48491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203">
        <v>4484831110.1499996</v>
      </c>
      <c r="F23" s="7" t="str">
        <f>INDEX(Language!$D$2:$X$300,SUM(Language!AF23),IF(Overview!$A$1="EN",6,15))</f>
        <v>in EUR</v>
      </c>
      <c r="G23" s="8"/>
      <c r="H23" s="203">
        <v>4052823602.8800001</v>
      </c>
      <c r="I23" s="5"/>
    </row>
    <row r="24" spans="1:9" ht="15" x14ac:dyDescent="0.25">
      <c r="B24" s="102" t="s">
        <v>36</v>
      </c>
      <c r="C24" s="178"/>
      <c r="D24" s="203">
        <v>73841109.379565567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4558672219.5295649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4052823602.8800001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4558672219.5295658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201">
        <v>4548672219.5295658</v>
      </c>
      <c r="D35" s="104">
        <f>IF(($C$69=0),0,(C35/$C$69))</f>
        <v>0.9978063788053988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201">
        <v>10000000</v>
      </c>
      <c r="D54" s="104">
        <f t="shared" si="0"/>
        <v>2.193621194601255E-3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4558672219.5295658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26" t="str">
        <f>INDEX(Language!$D$2:$X$300,SUM(Language!AG72),IF(Overview!$A$1="EN",7,16))</f>
        <v>Share in total</v>
      </c>
      <c r="H72" s="227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201">
        <v>700000</v>
      </c>
      <c r="D73" s="30"/>
      <c r="E73" s="30"/>
      <c r="F73" s="210">
        <f>IF(($C$83=0),0,(C73/$C$83))</f>
        <v>1.5389106231804842E-4</v>
      </c>
      <c r="G73" s="218">
        <f>IF(($C$69=0),0,(C73/$C$69))</f>
        <v>1.5355348362208784E-4</v>
      </c>
      <c r="H73" s="219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201">
        <v>320430714.32999998</v>
      </c>
      <c r="D74" s="30"/>
      <c r="E74" s="30"/>
      <c r="F74" s="210">
        <f t="shared" ref="F74:F81" si="1">IF(($C$83=0),0,(C74/$C$83))</f>
        <v>7.0444890039392569E-2</v>
      </c>
      <c r="G74" s="218">
        <f t="shared" ref="G74:G81" si="2">IF(($C$69=0),0,(C74/$C$69))</f>
        <v>7.0290360635550803E-2</v>
      </c>
      <c r="H74" s="219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201">
        <v>3891443773.6122522</v>
      </c>
      <c r="D75" s="30"/>
      <c r="E75" s="30"/>
      <c r="F75" s="210">
        <f t="shared" si="1"/>
        <v>0.85551202324592079</v>
      </c>
      <c r="G75" s="218">
        <f t="shared" si="2"/>
        <v>0.85363535393949241</v>
      </c>
      <c r="H75" s="219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201">
        <v>90208012.980000004</v>
      </c>
      <c r="D76" s="30"/>
      <c r="E76" s="30"/>
      <c r="F76" s="210">
        <f t="shared" si="1"/>
        <v>1.9831724210132143E-2</v>
      </c>
      <c r="G76" s="218">
        <f t="shared" si="2"/>
        <v>1.9788220919579311E-2</v>
      </c>
      <c r="H76" s="219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201">
        <v>50628313.93</v>
      </c>
      <c r="D77" s="30"/>
      <c r="E77" s="30"/>
      <c r="F77" s="210">
        <f t="shared" si="1"/>
        <v>1.1130350020084783E-2</v>
      </c>
      <c r="G77" s="218">
        <f t="shared" si="2"/>
        <v>1.1105934248377395E-2</v>
      </c>
      <c r="H77" s="219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201">
        <v>3663.92</v>
      </c>
      <c r="D78" s="30"/>
      <c r="E78" s="30"/>
      <c r="F78" s="210">
        <f t="shared" si="1"/>
        <v>8.0549220149763422E-7</v>
      </c>
      <c r="G78" s="218">
        <f t="shared" si="2"/>
        <v>8.0372525673234295E-7</v>
      </c>
      <c r="H78" s="219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201">
        <v>52543319.009999998</v>
      </c>
      <c r="D79" s="30"/>
      <c r="E79" s="30"/>
      <c r="F79" s="210">
        <f t="shared" si="1"/>
        <v>1.155135311452144E-2</v>
      </c>
      <c r="G79" s="218">
        <f t="shared" si="2"/>
        <v>1.1526013821503102E-2</v>
      </c>
      <c r="H79" s="219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201">
        <v>47827104.630000003</v>
      </c>
      <c r="D80" s="30"/>
      <c r="E80" s="30"/>
      <c r="F80" s="210">
        <f t="shared" si="1"/>
        <v>1.0514519913010218E-2</v>
      </c>
      <c r="G80" s="218">
        <f t="shared" si="2"/>
        <v>1.049145503927798E-2</v>
      </c>
      <c r="H80" s="219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201">
        <v>67219444.670000002</v>
      </c>
      <c r="D81" s="30"/>
      <c r="E81" s="30"/>
      <c r="F81" s="210">
        <f t="shared" si="1"/>
        <v>1.4777816783850825E-2</v>
      </c>
      <c r="G81" s="218">
        <f t="shared" si="2"/>
        <v>1.4745399851743836E-2</v>
      </c>
      <c r="H81" s="219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201">
        <v>27667872.447313711</v>
      </c>
      <c r="D82" s="30"/>
      <c r="E82" s="30"/>
      <c r="F82" s="210">
        <f>IF(($C$83=0),0,(C82/$C$83))</f>
        <v>6.0826261185676703E-3</v>
      </c>
      <c r="G82" s="218">
        <f>IF(($C$69=0),0,(C82/$C$69))</f>
        <v>6.0692831409951443E-3</v>
      </c>
      <c r="H82" s="219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4548672219.5295658</v>
      </c>
      <c r="D83" s="182"/>
      <c r="E83" s="182"/>
      <c r="F83" s="183">
        <f>SUM(F73:F82)</f>
        <v>1</v>
      </c>
      <c r="G83" s="220">
        <f>SUM(G73:H82)</f>
        <v>0.9978063788053988</v>
      </c>
      <c r="H83" s="221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24" t="str">
        <f>INDEX(Language!$D$2:$X$300,SUM(Language!AG87),IF(Overview!$A$1="EN",7,16))</f>
        <v>%</v>
      </c>
      <c r="H87" s="225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201">
        <v>10000000</v>
      </c>
      <c r="G88" s="218">
        <f>IF(($F$95=0),0,(F88/$F$95))</f>
        <v>2.193621194601255E-3</v>
      </c>
      <c r="H88" s="219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201">
        <v>1318636383.97</v>
      </c>
      <c r="G89" s="218">
        <f t="shared" ref="G89:G94" si="3">IF(($F$95=0),0,(F89/$F$95))</f>
        <v>0.28925887198489503</v>
      </c>
      <c r="H89" s="219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201">
        <v>502277549.96225673</v>
      </c>
      <c r="G90" s="218">
        <f t="shared" si="3"/>
        <v>0.11018066791695971</v>
      </c>
      <c r="H90" s="219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201">
        <f>11178577.18+2000000</f>
        <v>13178577.18</v>
      </c>
      <c r="G91" s="218">
        <f t="shared" si="3"/>
        <v>2.8908806216736437E-3</v>
      </c>
      <c r="H91" s="219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201">
        <v>2356172831.4756708</v>
      </c>
      <c r="G92" s="218">
        <f t="shared" si="3"/>
        <v>0.51685506612686816</v>
      </c>
      <c r="H92" s="219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201">
        <f>199483145.42+3301111+260641</f>
        <v>203044897.41999999</v>
      </c>
      <c r="G93" s="218">
        <f t="shared" si="3"/>
        <v>4.454035904361496E-2</v>
      </c>
      <c r="H93" s="219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201">
        <f>160923731.521638-3301111-260641-2000000</f>
        <v>155361979.52163801</v>
      </c>
      <c r="G94" s="245">
        <f t="shared" si="3"/>
        <v>3.4080533111387125E-2</v>
      </c>
      <c r="H94" s="246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4558672219.5295658</v>
      </c>
      <c r="G95" s="220">
        <f>SUM(G88:H94)</f>
        <v>0.99999999999999989</v>
      </c>
      <c r="H95" s="221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22">
        <v>6.6848549200000003</v>
      </c>
      <c r="H99" s="223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201">
        <v>914925726.39999998</v>
      </c>
      <c r="D102" s="211">
        <f>IF(($C$107=0),0,(C102/$C$107))</f>
        <v>0.20070004649169887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201">
        <v>872257807.10000002</v>
      </c>
      <c r="D103" s="211">
        <f>IF(($C$107=0),0,(C103/$C$107))</f>
        <v>0.19134032128109729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201">
        <v>553438472.88</v>
      </c>
      <c r="D104" s="211">
        <f>IF(($C$107=0),0,(C104/$C$107))</f>
        <v>0.12140343640173197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201">
        <v>938358566.69000006</v>
      </c>
      <c r="D105" s="211">
        <f>IF(($C$107=0),0,(C105/$C$107))</f>
        <v>0.20584032400268393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201">
        <v>1279691646.4595656</v>
      </c>
      <c r="D106" s="211">
        <f>IF(($C$107=0),0,(C106/$C$107))</f>
        <v>0.2807158718227879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4558672219.5295658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16" t="str">
        <f>INDEX(Language!$D$2:$X$300,SUM(Language!AB112),IF(Overview!$A$1="EN",2,11))</f>
        <v>WA residual life (incl. contractural amortisation)</v>
      </c>
      <c r="C112" s="217"/>
      <c r="D112" s="217"/>
      <c r="E112" s="132"/>
      <c r="F112" s="132"/>
      <c r="G112" s="132"/>
      <c r="H112" s="204">
        <v>10.216339319999999</v>
      </c>
      <c r="I112" s="5"/>
    </row>
    <row r="113" spans="2:9" ht="15" x14ac:dyDescent="0.25">
      <c r="B113" s="214" t="str">
        <f>INDEX(Language!$D$2:$X$300,SUM(Language!AB113),IF(Overview!$A$1="EN",2,11))</f>
        <v>WA residual life (final legal maturity)</v>
      </c>
      <c r="C113" s="215"/>
      <c r="D113" s="215"/>
      <c r="E113" s="132"/>
      <c r="F113" s="132"/>
      <c r="G113" s="132"/>
      <c r="H113" s="204">
        <v>16.551498070000001</v>
      </c>
      <c r="I113" s="5"/>
    </row>
    <row r="114" spans="2:9" ht="15" customHeight="1" x14ac:dyDescent="0.25">
      <c r="B114" s="216" t="str">
        <f>INDEX(Language!$D$2:$X$300,SUM(Language!AB114),IF(Overview!$A$1="EN",2,11))</f>
        <v>WA residual life of issues (final legal maturity)</v>
      </c>
      <c r="C114" s="217"/>
      <c r="D114" s="217"/>
      <c r="E114" s="130"/>
      <c r="F114" s="130"/>
      <c r="G114" s="130"/>
      <c r="H114" s="204">
        <v>5.2007171200000002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201">
        <v>80469630.454943016</v>
      </c>
      <c r="D118" s="211">
        <f>IF(($C$123=0),0,(C118/$C$123))</f>
        <v>1.7651988688769361E-2</v>
      </c>
      <c r="F118" s="7" t="str">
        <f>INDEX(Language!$D$2:$X$300,SUM(Language!AF118),IF(Overview!$A$1="EN",6,15))</f>
        <v>≤ 12 months</v>
      </c>
      <c r="G118" s="201">
        <v>538000000</v>
      </c>
      <c r="H118" s="211">
        <f>IF(($G$123=0),0,(G118/$G$123))</f>
        <v>0.13274695686673577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201">
        <v>171445511.60462257</v>
      </c>
      <c r="D119" s="211">
        <f>IF(($C$123=0),0,(C119/$C$123))</f>
        <v>3.7608650797515547E-2</v>
      </c>
      <c r="F119" s="7" t="str">
        <f>INDEX(Language!$D$2:$X$300,SUM(Language!AF119),IF(Overview!$A$1="EN",6,15))</f>
        <v>12 - 36 months</v>
      </c>
      <c r="G119" s="201">
        <v>550150000</v>
      </c>
      <c r="H119" s="211">
        <f>IF(($G$123=0),0,(G119/$G$123))</f>
        <v>0.13574486676623546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201">
        <v>195949181.78999999</v>
      </c>
      <c r="D120" s="211">
        <f>IF(($C$123=0),0,(C120/$C$123))</f>
        <v>4.2983827823931821E-2</v>
      </c>
      <c r="F120" s="7" t="str">
        <f>INDEX(Language!$D$2:$X$300,SUM(Language!AF120),IF(Overview!$A$1="EN",6,15))</f>
        <v>36 - 60 months</v>
      </c>
      <c r="G120" s="201">
        <v>1618000000</v>
      </c>
      <c r="H120" s="211">
        <f>IF(($G$123=0),0,(G120/$G$123))</f>
        <v>0.39922783682226481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201">
        <v>767639877.20000005</v>
      </c>
      <c r="D121" s="211">
        <f>IF(($C$123=0),0,(C121/$C$123))</f>
        <v>0.16839111044470248</v>
      </c>
      <c r="F121" s="7" t="str">
        <f>INDEX(Language!$D$2:$X$300,SUM(Language!AF121),IF(Overview!$A$1="EN",6,15))</f>
        <v>60 - 120 months</v>
      </c>
      <c r="G121" s="201">
        <v>1051000000</v>
      </c>
      <c r="H121" s="211">
        <f>IF(($G$123=0),0,(G121/$G$123))</f>
        <v>0.25932537484561208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201">
        <v>3343168018.48</v>
      </c>
      <c r="D122" s="211">
        <f>IF(($C$123=0),0,(C122/$C$123))</f>
        <v>0.7333644222450808</v>
      </c>
      <c r="F122" s="7" t="str">
        <f>INDEX(Language!$D$2:$X$300,SUM(Language!AF122),IF(Overview!$A$1="EN",6,15))</f>
        <v>≥ 120 months</v>
      </c>
      <c r="G122" s="201">
        <v>295673602.88</v>
      </c>
      <c r="H122" s="211">
        <f>IF(($G$123=0),0,(G122/$G$123))</f>
        <v>7.2954964699151886E-2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4558672219.5295658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4052823602.8800001</v>
      </c>
      <c r="H123" s="172">
        <f>SUM(H118:H122)</f>
        <v>1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203">
        <v>2265323608.3179274</v>
      </c>
      <c r="F145" s="7" t="str">
        <f>INDEX(Language!$D$2:$X$300,SUM(Language!AF145),IF(Overview!$A$1="EN",6,15))</f>
        <v>Variable, fixed rate during the year</v>
      </c>
      <c r="G145" s="8"/>
      <c r="H145" s="203">
        <v>1060650000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203">
        <v>40836091.780000001</v>
      </c>
      <c r="F146" s="7" t="str">
        <f>INDEX(Language!$D$2:$X$300,SUM(Language!AF146),IF(Overview!$A$1="EN",6,15))</f>
        <v>Fixed rate, 1 - 2 years</v>
      </c>
      <c r="G146" s="8"/>
      <c r="H146" s="203">
        <v>532500000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203">
        <v>199217936.11163825</v>
      </c>
      <c r="F147" s="7" t="str">
        <f>INDEX(Language!$D$2:$X$300,SUM(Language!AF147),IF(Overview!$A$1="EN",6,15))</f>
        <v>Fixed rate, 2 - 5 years</v>
      </c>
      <c r="G147" s="8"/>
      <c r="H147" s="203">
        <v>1133000000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203">
        <v>2053294583.3199999</v>
      </c>
      <c r="F148" s="7" t="str">
        <f>INDEX(Language!$D$2:$X$300,SUM(Language!AF148),IF(Overview!$A$1="EN",6,15))</f>
        <v>Fixed rate, &gt; 5 years</v>
      </c>
      <c r="G148" s="8"/>
      <c r="H148" s="203">
        <v>1326673602.8800001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4">
        <f>SUM(D145:D148)</f>
        <v>4558672219.5295658</v>
      </c>
      <c r="F149" s="12" t="str">
        <f>INDEX(Language!$D$2:$X$300,SUM(Language!AF149),IF(Overview!$A$1="EN",6,15))</f>
        <v>Total</v>
      </c>
      <c r="G149" s="23"/>
      <c r="H149" s="184">
        <f>SUM(H145:H148)</f>
        <v>4052823602.8800001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D25" sqref="D25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6" t="str">
        <f>INDEX([2]Language!$D$2:$X$300,SUM([2]Language!AB207),IF([2]Overview!$A$1="EN",3,11))</f>
        <v>Overview</v>
      </c>
      <c r="C4" s="187"/>
      <c r="D4" s="186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5">
        <v>81326550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5">
        <v>76576550</v>
      </c>
    </row>
    <row r="8" spans="1:5" x14ac:dyDescent="0.25">
      <c r="B8" s="188" t="str">
        <f>INDEX([2]Language!$D$2:$X$300,SUM([2]Language!AB211),IF([2]Overview!$A$1="EN",3,11))</f>
        <v>Total</v>
      </c>
      <c r="C8" s="188"/>
      <c r="D8" s="185">
        <f>SUM(D5:D6)</f>
        <v>81326550</v>
      </c>
    </row>
    <row r="9" spans="1:5" x14ac:dyDescent="0.25">
      <c r="B9" s="188" t="str">
        <f>INDEX([2]Language!$D$2:$X$300,SUM([2]Language!AB212),IF([2]Overview!$A$1="EN",3,11))</f>
        <v>Additional cover pool (in % of total issues)</v>
      </c>
      <c r="C9" s="188"/>
      <c r="D9" s="209">
        <f>D8/[3]Primärdeckung!$C$14</f>
        <v>1.8804367133712207E-2</v>
      </c>
      <c r="E9" s="80"/>
    </row>
    <row r="11" spans="1:5" x14ac:dyDescent="0.25">
      <c r="B11" s="186" t="str">
        <f>INDEX([2]Language!$D$2:$X$300,SUM([2]Language!AB214),IF([2]Overview!$A$1="EN",3,11))</f>
        <v>Bonds by volume</v>
      </c>
      <c r="C11" s="187" t="str">
        <f>INDEX([2]Language!$D$2:$X$300,SUM([2]Language!AC214),IF([2]Overview!$A$1="EN",4,12))</f>
        <v>volume</v>
      </c>
      <c r="D11" s="189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206"/>
      <c r="D12" s="207"/>
    </row>
    <row r="13" spans="1:5" x14ac:dyDescent="0.25">
      <c r="B13" s="38" t="str">
        <f>INDEX([2]Language!$D$2:$X$300,SUM([2]Language!AB216),IF([2]Overview!$A$1="EN",3,11))</f>
        <v>1.000.000 - 5.000.000</v>
      </c>
      <c r="C13" s="206">
        <v>9625750</v>
      </c>
      <c r="D13" s="207">
        <v>2</v>
      </c>
    </row>
    <row r="14" spans="1:5" x14ac:dyDescent="0.25">
      <c r="B14" s="38" t="str">
        <f>INDEX([2]Language!$D$2:$X$300,SUM([2]Language!AB217),IF([2]Overview!$A$1="EN",3,11))</f>
        <v>≥ 5.000.000</v>
      </c>
      <c r="C14" s="206">
        <v>71700800</v>
      </c>
      <c r="D14" s="207">
        <v>5</v>
      </c>
    </row>
    <row r="15" spans="1:5" x14ac:dyDescent="0.25">
      <c r="B15" s="188" t="str">
        <f>INDEX([2]Language!$D$2:$X$300,SUM([2]Language!AB218),IF([2]Overview!$A$1="EN",3,11))</f>
        <v>Total</v>
      </c>
      <c r="C15" s="190">
        <f>SUM(C12:C14)</f>
        <v>81326550</v>
      </c>
      <c r="D15" s="191">
        <f>SUM(D12:D14)</f>
        <v>7</v>
      </c>
    </row>
    <row r="17" spans="2:4" x14ac:dyDescent="0.25">
      <c r="B17" s="186" t="str">
        <f>INDEX([2]Language!$D$2:$X$300,SUM([2]Language!AB220),IF([2]Overview!$A$1="EN",3,11))</f>
        <v>Additional cover pool by currencies</v>
      </c>
      <c r="C17" s="187" t="str">
        <f>INDEX([2]Language!$D$2:$X$300,SUM([2]Language!AC220),IF([2]Overview!$A$1="EN",4,12))</f>
        <v>volume</v>
      </c>
      <c r="D17" s="189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6">
        <v>81326550</v>
      </c>
      <c r="D18" s="193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3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3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3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3">
        <f>IF(($C$23=0),0,(C22/$C$23))</f>
        <v>0</v>
      </c>
    </row>
    <row r="23" spans="2:4" x14ac:dyDescent="0.25">
      <c r="B23" s="188" t="str">
        <f>INDEX([2]Language!$D$2:$X$300,SUM([2]Language!AB226),IF([2]Overview!$A$1="EN",3,11))</f>
        <v>Total</v>
      </c>
      <c r="C23" s="190">
        <f>SUM(C18:C22)</f>
        <v>81326550</v>
      </c>
      <c r="D23" s="192">
        <f>SUM(D18:D22)</f>
        <v>1</v>
      </c>
    </row>
    <row r="25" spans="2:4" x14ac:dyDescent="0.25">
      <c r="B25" s="186" t="str">
        <f>INDEX([2]Language!$D$2:$X$300,SUM([2]Language!AB228),IF([2]Overview!$A$1="EN",3,11))</f>
        <v>Regional distribution of additional cover pool</v>
      </c>
      <c r="C25" s="187" t="str">
        <f>INDEX([2]Language!$D$2:$X$300,SUM([2]Language!AC228),IF([2]Overview!$A$1="EN",4,12))</f>
        <v>Volumen</v>
      </c>
      <c r="D25" s="189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4">
        <f>SUM(C27:C54)</f>
        <v>81326550</v>
      </c>
      <c r="D26" s="195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6">
        <v>63434550</v>
      </c>
      <c r="D27" s="196">
        <f>IF(($C$61=0),0,(C27/$C$61))</f>
        <v>0.77999804491891023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6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6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6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6">
        <f t="shared" si="0"/>
        <v>0</v>
      </c>
    </row>
    <row r="32" spans="2:4" outlineLevel="1" x14ac:dyDescent="0.25">
      <c r="B32" s="38"/>
      <c r="C32" s="206"/>
      <c r="D32" s="196">
        <f t="shared" si="0"/>
        <v>0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6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6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6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6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6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6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6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6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6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6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6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6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6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206">
        <v>17892000</v>
      </c>
      <c r="D46" s="196">
        <f t="shared" si="0"/>
        <v>0.22000195508108975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6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6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197"/>
      <c r="D49" s="196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6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6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6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6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6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4">
        <f>SUM(C56:C58)</f>
        <v>0</v>
      </c>
      <c r="D55" s="195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5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5">
        <f>IF(($C$61=0),0,(C60/$C$61))</f>
        <v>0</v>
      </c>
    </row>
    <row r="61" spans="2:4" x14ac:dyDescent="0.25">
      <c r="B61" s="186" t="str">
        <f>INDEX([2]Language!$D$2:$X$300,SUM([2]Language!AB264),IF([2]Overview!$A$1="EN",3,11))</f>
        <v>Total</v>
      </c>
      <c r="C61" s="190">
        <f>C26+C55+C59+C60</f>
        <v>81326550</v>
      </c>
      <c r="D61" s="192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40" t="s">
        <v>169</v>
      </c>
      <c r="F2" s="240"/>
      <c r="G2" s="240"/>
      <c r="H2" s="84"/>
      <c r="I2" s="84" t="s">
        <v>0</v>
      </c>
      <c r="J2" s="213" t="s">
        <v>169</v>
      </c>
      <c r="K2" s="213"/>
      <c r="L2" s="213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26" t="s">
        <v>266</v>
      </c>
      <c r="K106" s="227"/>
      <c r="M106" s="2"/>
      <c r="N106" s="18"/>
      <c r="O106" s="19" t="s">
        <v>24</v>
      </c>
      <c r="P106" s="22"/>
      <c r="Q106" s="22"/>
      <c r="R106" s="19" t="s">
        <v>80</v>
      </c>
      <c r="S106" s="226" t="s">
        <v>117</v>
      </c>
      <c r="T106" s="227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36">
        <f>IF(($C$69=0),0,(F107/$C$69))</f>
        <v>0</v>
      </c>
      <c r="K107" s="237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36">
        <f>IF(($C$69=0),0,(O107/$C$69))</f>
        <v>0</v>
      </c>
      <c r="T107" s="237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36">
        <f t="shared" ref="J108:J114" si="5">IF(($C$69=0),0,(F108/$C$69))</f>
        <v>0</v>
      </c>
      <c r="K108" s="237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36">
        <f t="shared" ref="S108:S115" si="7">IF(($C$69=0),0,(O108/$C$69))</f>
        <v>0</v>
      </c>
      <c r="T108" s="237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36">
        <f t="shared" si="5"/>
        <v>0</v>
      </c>
      <c r="K109" s="237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36">
        <f t="shared" si="7"/>
        <v>0</v>
      </c>
      <c r="T109" s="237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36">
        <f t="shared" si="5"/>
        <v>0</v>
      </c>
      <c r="K110" s="237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36">
        <f t="shared" si="7"/>
        <v>0</v>
      </c>
      <c r="T110" s="237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36">
        <f t="shared" si="5"/>
        <v>0</v>
      </c>
      <c r="K111" s="237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36">
        <f t="shared" si="7"/>
        <v>0</v>
      </c>
      <c r="T111" s="237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36">
        <f t="shared" si="5"/>
        <v>0</v>
      </c>
      <c r="K112" s="237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36">
        <f t="shared" si="7"/>
        <v>0</v>
      </c>
      <c r="T112" s="237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36">
        <f t="shared" si="5"/>
        <v>0</v>
      </c>
      <c r="K113" s="237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36">
        <f t="shared" si="7"/>
        <v>0</v>
      </c>
      <c r="T113" s="237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36">
        <f t="shared" si="5"/>
        <v>0</v>
      </c>
      <c r="K114" s="237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36">
        <f t="shared" si="7"/>
        <v>0</v>
      </c>
      <c r="T114" s="237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36">
        <f>IF(($C$69=0),0,(F115/$C$69))</f>
        <v>0</v>
      </c>
      <c r="K115" s="237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36">
        <f t="shared" si="7"/>
        <v>0</v>
      </c>
      <c r="T115" s="237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36">
        <f>IF(($C$69=0),0,(F116/$C$69))</f>
        <v>0</v>
      </c>
      <c r="K116" s="237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36">
        <f>IF(($C$69=0),0,(O116/$C$69))</f>
        <v>0</v>
      </c>
      <c r="T116" s="237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30">
        <f>SUM(J107:K116)</f>
        <v>0</v>
      </c>
      <c r="K117" s="231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30">
        <f>SUM(S107:T116)</f>
        <v>0</v>
      </c>
      <c r="T117" s="231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28" t="s">
        <v>274</v>
      </c>
      <c r="F121" s="229"/>
      <c r="G121" s="119"/>
      <c r="H121" s="119"/>
      <c r="I121" s="119" t="s">
        <v>217</v>
      </c>
      <c r="J121" s="224" t="s">
        <v>41</v>
      </c>
      <c r="K121" s="225"/>
      <c r="M121" s="2"/>
      <c r="N121" s="228" t="s">
        <v>160</v>
      </c>
      <c r="O121" s="229"/>
      <c r="P121" s="127"/>
      <c r="Q121" s="127"/>
      <c r="R121" s="127" t="s">
        <v>24</v>
      </c>
      <c r="S121" s="224" t="s">
        <v>41</v>
      </c>
      <c r="T121" s="225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41" t="s">
        <v>275</v>
      </c>
      <c r="F122" s="242"/>
      <c r="G122" s="8"/>
      <c r="H122" s="8"/>
      <c r="I122" s="67">
        <v>20000000</v>
      </c>
      <c r="J122" s="236">
        <f>IF(($F$95=0),0,(I122/$F$95))</f>
        <v>1</v>
      </c>
      <c r="K122" s="237"/>
      <c r="M122" s="2"/>
      <c r="N122" s="234" t="s">
        <v>158</v>
      </c>
      <c r="O122" s="235"/>
      <c r="P122" s="8"/>
      <c r="Q122" s="8"/>
      <c r="R122" s="67">
        <v>9999999999</v>
      </c>
      <c r="S122" s="236">
        <f>IF(($F$95=0),0,(R122/$F$95))</f>
        <v>499.99999995000002</v>
      </c>
      <c r="T122" s="237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43" t="s">
        <v>276</v>
      </c>
      <c r="F123" s="244"/>
      <c r="G123" s="8"/>
      <c r="H123" s="8"/>
      <c r="I123" s="67">
        <v>20000000</v>
      </c>
      <c r="J123" s="236">
        <f>IF(($F$95=0),0,(I123/$F$95))</f>
        <v>1</v>
      </c>
      <c r="K123" s="237"/>
      <c r="M123" s="2"/>
      <c r="N123" s="234" t="s">
        <v>155</v>
      </c>
      <c r="O123" s="235"/>
      <c r="P123" s="8"/>
      <c r="Q123" s="8"/>
      <c r="R123" s="67">
        <v>0</v>
      </c>
      <c r="S123" s="236">
        <f t="shared" ref="S123:S128" si="8">IF(($F$95=0),0,(R123/$F$95))</f>
        <v>0</v>
      </c>
      <c r="T123" s="237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43" t="s">
        <v>277</v>
      </c>
      <c r="F124" s="244"/>
      <c r="G124" s="8"/>
      <c r="H124" s="8"/>
      <c r="I124" s="67">
        <v>20000000</v>
      </c>
      <c r="J124" s="236">
        <f t="shared" ref="J124:J128" si="9">IF(($F$95=0),0,(I124/$F$95))</f>
        <v>1</v>
      </c>
      <c r="K124" s="237"/>
      <c r="M124" s="2"/>
      <c r="N124" s="238" t="s">
        <v>154</v>
      </c>
      <c r="O124" s="239"/>
      <c r="P124" s="8"/>
      <c r="Q124" s="8"/>
      <c r="R124" s="67">
        <v>0</v>
      </c>
      <c r="S124" s="236">
        <f t="shared" si="8"/>
        <v>0</v>
      </c>
      <c r="T124" s="237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43" t="s">
        <v>278</v>
      </c>
      <c r="F125" s="244"/>
      <c r="G125" s="8"/>
      <c r="H125" s="8"/>
      <c r="I125" s="67">
        <v>20000000</v>
      </c>
      <c r="J125" s="236">
        <f t="shared" si="9"/>
        <v>1</v>
      </c>
      <c r="K125" s="237"/>
      <c r="M125" s="2"/>
      <c r="N125" s="234" t="s">
        <v>157</v>
      </c>
      <c r="O125" s="235"/>
      <c r="P125" s="8"/>
      <c r="Q125" s="8"/>
      <c r="R125" s="67">
        <v>9999999999</v>
      </c>
      <c r="S125" s="236">
        <f t="shared" si="8"/>
        <v>499.99999995000002</v>
      </c>
      <c r="T125" s="237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43" t="s">
        <v>279</v>
      </c>
      <c r="F126" s="244"/>
      <c r="G126" s="8"/>
      <c r="H126" s="8"/>
      <c r="I126" s="67">
        <v>20000000</v>
      </c>
      <c r="J126" s="236">
        <f t="shared" si="9"/>
        <v>1</v>
      </c>
      <c r="K126" s="237"/>
      <c r="M126" s="2"/>
      <c r="N126" s="234" t="s">
        <v>156</v>
      </c>
      <c r="O126" s="235"/>
      <c r="P126" s="8"/>
      <c r="Q126" s="8"/>
      <c r="R126" s="67">
        <v>559101638.75</v>
      </c>
      <c r="S126" s="236">
        <f t="shared" si="8"/>
        <v>27.955081937500001</v>
      </c>
      <c r="T126" s="237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43" t="s">
        <v>280</v>
      </c>
      <c r="F127" s="244"/>
      <c r="G127" s="8"/>
      <c r="H127" s="8"/>
      <c r="I127" s="67">
        <v>20000000</v>
      </c>
      <c r="J127" s="236">
        <f t="shared" si="9"/>
        <v>1</v>
      </c>
      <c r="K127" s="237"/>
      <c r="M127" s="2"/>
      <c r="N127" s="234" t="s">
        <v>159</v>
      </c>
      <c r="O127" s="235"/>
      <c r="P127" s="8"/>
      <c r="Q127" s="8"/>
      <c r="R127" s="67">
        <v>442366849.20999998</v>
      </c>
      <c r="S127" s="236">
        <f t="shared" si="8"/>
        <v>22.118342460499999</v>
      </c>
      <c r="T127" s="237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43" t="s">
        <v>281</v>
      </c>
      <c r="F128" s="244"/>
      <c r="G128" s="8"/>
      <c r="H128" s="8"/>
      <c r="I128" s="67">
        <v>20000000</v>
      </c>
      <c r="J128" s="236">
        <f t="shared" si="9"/>
        <v>1</v>
      </c>
      <c r="K128" s="237"/>
      <c r="M128" s="2"/>
      <c r="N128" s="234" t="s">
        <v>168</v>
      </c>
      <c r="O128" s="235"/>
      <c r="P128" s="8"/>
      <c r="Q128" s="8"/>
      <c r="R128" s="67">
        <v>2333333</v>
      </c>
      <c r="S128" s="236">
        <f t="shared" si="8"/>
        <v>0.11666665</v>
      </c>
      <c r="T128" s="237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28" t="s">
        <v>224</v>
      </c>
      <c r="F129" s="229"/>
      <c r="G129" s="23"/>
      <c r="H129" s="23"/>
      <c r="I129" s="72">
        <f>SUM(I122:I128)</f>
        <v>140000000</v>
      </c>
      <c r="J129" s="230">
        <f>SUM(J122:K128)</f>
        <v>7</v>
      </c>
      <c r="K129" s="231"/>
      <c r="M129" s="2"/>
      <c r="N129" s="228" t="s">
        <v>30</v>
      </c>
      <c r="O129" s="229"/>
      <c r="P129" s="23"/>
      <c r="Q129" s="23"/>
      <c r="R129" s="72">
        <f>SUM(R122:R128)</f>
        <v>21003801818.959999</v>
      </c>
      <c r="S129" s="230">
        <f>SUM(S122:T128)</f>
        <v>1050.190090948</v>
      </c>
      <c r="T129" s="231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32">
        <v>5</v>
      </c>
      <c r="K133" s="233"/>
      <c r="M133" s="2"/>
      <c r="N133" s="32" t="s">
        <v>177</v>
      </c>
      <c r="O133" s="33"/>
      <c r="P133" s="33"/>
      <c r="Q133" s="33"/>
      <c r="R133" s="33"/>
      <c r="S133" s="232">
        <v>5</v>
      </c>
      <c r="T133" s="233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38" t="s">
        <v>290</v>
      </c>
      <c r="F146" s="235"/>
      <c r="G146" s="235"/>
      <c r="H146" s="235"/>
      <c r="I146" s="235"/>
      <c r="J146" s="235"/>
      <c r="K146" s="133">
        <v>5</v>
      </c>
      <c r="M146" s="2"/>
      <c r="N146" s="216" t="s">
        <v>172</v>
      </c>
      <c r="O146" s="215"/>
      <c r="P146" s="215"/>
      <c r="Q146" s="215"/>
      <c r="R146" s="215"/>
      <c r="S146" s="215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38" t="s">
        <v>291</v>
      </c>
      <c r="F147" s="235"/>
      <c r="G147" s="235"/>
      <c r="H147" s="235"/>
      <c r="I147" s="235"/>
      <c r="J147" s="235"/>
      <c r="K147" s="133">
        <v>5</v>
      </c>
      <c r="M147" s="2"/>
      <c r="N147" s="214" t="s">
        <v>173</v>
      </c>
      <c r="O147" s="215"/>
      <c r="P147" s="215"/>
      <c r="Q147" s="215"/>
      <c r="R147" s="215"/>
      <c r="S147" s="215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38" t="s">
        <v>292</v>
      </c>
      <c r="F148" s="235"/>
      <c r="G148" s="235"/>
      <c r="H148" s="235"/>
      <c r="I148" s="235"/>
      <c r="J148" s="235"/>
      <c r="K148" s="133">
        <v>5</v>
      </c>
      <c r="M148" s="2"/>
      <c r="N148" s="216" t="s">
        <v>146</v>
      </c>
      <c r="O148" s="217"/>
      <c r="P148" s="217"/>
      <c r="Q148" s="217"/>
      <c r="R148" s="217"/>
      <c r="S148" s="217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2022-04-13T12:34:46Z</dcterms:modified>
</cp:coreProperties>
</file>