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0\2020-09\"/>
    </mc:Choice>
  </mc:AlternateContent>
  <xr:revisionPtr revIDLastSave="0" documentId="13_ncr:1_{60C089A5-0E4B-4037-8827-EFCED8486A20}" xr6:coauthVersionLast="45" xr6:coauthVersionMax="45" xr10:uidLastSave="{00000000-0000-0000-0000-000000000000}"/>
  <bookViews>
    <workbookView xWindow="13755" yWindow="0" windowWidth="14910" windowHeight="1560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Overview!$D$31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<sst xmlns="http://schemas.openxmlformats.org/spreadsheetml/2006/main" count="635" uniqueCount="320">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</sst>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6" fontId="1" fillId="0" borderId="11" xfId="2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844071842.16999996</c:v>
                </c:pt>
                <c:pt idx="1">
                  <c:v>775949325.76999998</c:v>
                </c:pt>
                <c:pt idx="2">
                  <c:v>340132055.69999999</c:v>
                </c:pt>
                <c:pt idx="3">
                  <c:v>1149784497.1700001</c:v>
                </c:pt>
                <c:pt idx="4">
                  <c:v>1229915444.4816365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750233387.40741205</c:v>
                </c:pt>
                <c:pt idx="1">
                  <c:v>301231174.87302482</c:v>
                </c:pt>
                <c:pt idx="2">
                  <c:v>245662368.97</c:v>
                </c:pt>
                <c:pt idx="3">
                  <c:v>369131491.89999998</c:v>
                </c:pt>
                <c:pt idx="4">
                  <c:v>714443330.14332473</c:v>
                </c:pt>
                <c:pt idx="5">
                  <c:v>1959151411.997875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95611397.379999995</c:v>
                </c:pt>
                <c:pt idx="1">
                  <c:v>173737610.23975563</c:v>
                </c:pt>
                <c:pt idx="2">
                  <c:v>206863640.09466121</c:v>
                </c:pt>
                <c:pt idx="3">
                  <c:v>784590193.63</c:v>
                </c:pt>
                <c:pt idx="4">
                  <c:v>3079050323.9472198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578000000</c:v>
                </c:pt>
                <c:pt idx="1">
                  <c:v>1103378446.27</c:v>
                </c:pt>
                <c:pt idx="2">
                  <c:v>582650000</c:v>
                </c:pt>
                <c:pt idx="3">
                  <c:v>1000000000</c:v>
                </c:pt>
                <c:pt idx="4">
                  <c:v>463733665.89999998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844071842.16999996</c:v>
                </c:pt>
                <c:pt idx="1">
                  <c:v>775949325.76999998</c:v>
                </c:pt>
                <c:pt idx="2">
                  <c:v>340132055.69999999</c:v>
                </c:pt>
                <c:pt idx="3">
                  <c:v>1149784497.1700001</c:v>
                </c:pt>
                <c:pt idx="4">
                  <c:v>1229915444.4816365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750233387.40741205</c:v>
                </c:pt>
                <c:pt idx="1">
                  <c:v>301231174.87302482</c:v>
                </c:pt>
                <c:pt idx="2">
                  <c:v>245662368.97</c:v>
                </c:pt>
                <c:pt idx="3">
                  <c:v>369131491.89999998</c:v>
                </c:pt>
                <c:pt idx="4">
                  <c:v>714443330.14332473</c:v>
                </c:pt>
                <c:pt idx="5">
                  <c:v>1959151411.997875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95611397.379999995</c:v>
                </c:pt>
                <c:pt idx="1">
                  <c:v>173737610.23975563</c:v>
                </c:pt>
                <c:pt idx="2">
                  <c:v>206863640.09466121</c:v>
                </c:pt>
                <c:pt idx="3">
                  <c:v>784590193.63</c:v>
                </c:pt>
                <c:pt idx="4">
                  <c:v>3079050323.9472198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578000000</c:v>
                </c:pt>
                <c:pt idx="1">
                  <c:v>1103378446.27</c:v>
                </c:pt>
                <c:pt idx="2">
                  <c:v>582650000</c:v>
                </c:pt>
                <c:pt idx="3">
                  <c:v>1000000000</c:v>
                </c:pt>
                <c:pt idx="4">
                  <c:v>463733665.89999998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B40" sqref="B40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11" t="s">
        <v>315</v>
      </c>
      <c r="D1" s="211"/>
      <c r="E1" s="211"/>
      <c r="F1" s="161"/>
    </row>
    <row r="2" spans="1:6" x14ac:dyDescent="0.25">
      <c r="B2" s="80" t="str">
        <f>INDEX(Language!D2:M33,2,IF(A1="EN",1,6))</f>
        <v>Report Date</v>
      </c>
      <c r="D2" s="86">
        <v>44104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96">
        <v>9.4197600615391897E-2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200">
        <v>3727762112.1700001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200">
        <v>4428574075.2916365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201">
        <v>49302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201">
        <v>43774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201">
        <v>102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200">
        <v>101169.05184108458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200">
        <v>89825.444714040743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202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202">
        <v>0.17379955368819808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202">
        <v>0.54045340688630905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202">
        <v>7.281132677301691E-2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202">
        <v>1.9500361269930062E-2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202">
        <v>0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202">
        <v>0.50528411099153814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202">
        <f>IF(ISERROR(GESAMTBETRAG_DECKUNG/GESAMTBETRAG_EMISSIONEN),"",GESAMTBETRAG_DECKUNG/GESAMTBETRAG_EMISSIONEN-1)</f>
        <v>0.18799803797396297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202">
        <v>0.34820862512383194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201">
        <v>57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203">
        <v>65399335.301228069</v>
      </c>
      <c r="E32" s="94"/>
      <c r="F32" s="166"/>
    </row>
  </sheetData>
  <mergeCells count="1">
    <mergeCell ref="C1:E1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F142" sqref="F142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1051464562.2804369</v>
      </c>
      <c r="D6" s="176">
        <f>SUM(D7:D8)</f>
        <v>47663</v>
      </c>
      <c r="I6" s="5"/>
    </row>
    <row r="7" spans="1:9" ht="15" x14ac:dyDescent="0.25">
      <c r="A7" s="57" t="s">
        <v>128</v>
      </c>
      <c r="B7" s="175" t="s">
        <v>123</v>
      </c>
      <c r="C7" s="204">
        <v>750233387.40741205</v>
      </c>
      <c r="D7" s="205">
        <v>46071</v>
      </c>
      <c r="I7" s="5"/>
    </row>
    <row r="8" spans="1:9" ht="15" x14ac:dyDescent="0.25">
      <c r="A8" s="57" t="s">
        <v>130</v>
      </c>
      <c r="B8" s="175" t="s">
        <v>124</v>
      </c>
      <c r="C8" s="204">
        <v>301231174.87302482</v>
      </c>
      <c r="D8" s="205">
        <v>1592</v>
      </c>
      <c r="I8" s="5"/>
    </row>
    <row r="9" spans="1:9" ht="15" x14ac:dyDescent="0.25">
      <c r="A9" s="57"/>
      <c r="B9" s="177" t="s">
        <v>27</v>
      </c>
      <c r="C9" s="103">
        <f>SUM(C10:C12)</f>
        <v>1329237191.0133247</v>
      </c>
      <c r="D9" s="176">
        <f>SUM(D10:D12)</f>
        <v>1541</v>
      </c>
      <c r="I9" s="5"/>
    </row>
    <row r="10" spans="1:9" ht="15" x14ac:dyDescent="0.25">
      <c r="A10" s="57" t="s">
        <v>131</v>
      </c>
      <c r="B10" s="177" t="s">
        <v>125</v>
      </c>
      <c r="C10" s="204">
        <v>245662368.97</v>
      </c>
      <c r="D10" s="205">
        <v>639</v>
      </c>
      <c r="I10" s="5"/>
    </row>
    <row r="11" spans="1:9" ht="15" x14ac:dyDescent="0.25">
      <c r="A11" s="57" t="s">
        <v>132</v>
      </c>
      <c r="B11" s="177" t="s">
        <v>126</v>
      </c>
      <c r="C11" s="204">
        <v>369131491.89999998</v>
      </c>
      <c r="D11" s="205">
        <v>541</v>
      </c>
      <c r="I11" s="5"/>
    </row>
    <row r="12" spans="1:9" ht="15" x14ac:dyDescent="0.25">
      <c r="A12" s="57" t="s">
        <v>133</v>
      </c>
      <c r="B12" s="177" t="s">
        <v>127</v>
      </c>
      <c r="C12" s="204">
        <v>714443330.14332473</v>
      </c>
      <c r="D12" s="205">
        <v>361</v>
      </c>
      <c r="I12" s="5"/>
    </row>
    <row r="13" spans="1:9" ht="15" x14ac:dyDescent="0.25">
      <c r="A13" s="57" t="s">
        <v>134</v>
      </c>
      <c r="B13" s="177" t="s">
        <v>29</v>
      </c>
      <c r="C13" s="204">
        <v>1959151411.997875</v>
      </c>
      <c r="D13" s="205">
        <v>92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4339853165.2916365</v>
      </c>
      <c r="D14" s="181">
        <f>D13+D9+D6</f>
        <v>49296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206">
        <v>4255224460.71</v>
      </c>
      <c r="F23" s="7" t="str">
        <f>INDEX(Language!$D$2:$X$300,SUM(Language!AF23),IF(Overview!$A$1="EN",6,15))</f>
        <v>in EUR</v>
      </c>
      <c r="G23" s="8"/>
      <c r="H23" s="206">
        <v>3727762112.1700001</v>
      </c>
      <c r="I23" s="5"/>
    </row>
    <row r="24" spans="1:9" ht="15" x14ac:dyDescent="0.25">
      <c r="B24" s="102" t="s">
        <v>36</v>
      </c>
      <c r="C24" s="178"/>
      <c r="D24" s="206">
        <v>84628704.581636399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4339853165.2916365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3727762112.1700001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4339853165.2916365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204">
        <v>4319853165.2916365</v>
      </c>
      <c r="D35" s="104">
        <f>IF(($C$69=0),0,(C35/$C$69))</f>
        <v>0.99539154915195016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4.6084508480498344E-3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4339853165.2916365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24" t="str">
        <f>INDEX(Language!$D$2:$X$300,SUM(Language!AG72),IF(Overview!$A$1="EN",7,16))</f>
        <v>Share in total</v>
      </c>
      <c r="H72" s="225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204"/>
      <c r="D73" s="30"/>
      <c r="E73" s="30"/>
      <c r="F73" s="184">
        <f>IF(($C$83=0),0,(C73/$C$83))</f>
        <v>0</v>
      </c>
      <c r="G73" s="216">
        <f>IF(($C$69=0),0,(C73/$C$69))</f>
        <v>0</v>
      </c>
      <c r="H73" s="217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204">
        <v>339376705.33999997</v>
      </c>
      <c r="D74" s="30"/>
      <c r="E74" s="30"/>
      <c r="F74" s="184">
        <f t="shared" ref="F74:F81" si="1">IF(($C$83=0),0,(C74/$C$83))</f>
        <v>7.8562092819904519E-2</v>
      </c>
      <c r="G74" s="216">
        <f t="shared" ref="G74:G81" si="2">IF(($C$69=0),0,(C74/$C$69))</f>
        <v>7.8200043276624082E-2</v>
      </c>
      <c r="H74" s="217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204">
        <v>3800423282.1721807</v>
      </c>
      <c r="D75" s="30"/>
      <c r="E75" s="30"/>
      <c r="F75" s="184">
        <f t="shared" si="1"/>
        <v>0.87975751414587966</v>
      </c>
      <c r="G75" s="216">
        <f t="shared" si="2"/>
        <v>0.87570319488373605</v>
      </c>
      <c r="H75" s="217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204">
        <v>72246352.549999997</v>
      </c>
      <c r="D76" s="30"/>
      <c r="E76" s="30"/>
      <c r="F76" s="184">
        <f t="shared" si="1"/>
        <v>1.6724261169447082E-2</v>
      </c>
      <c r="G76" s="216">
        <f t="shared" si="2"/>
        <v>1.664718823387774E-2</v>
      </c>
      <c r="H76" s="217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204">
        <v>130688.48</v>
      </c>
      <c r="D77" s="30"/>
      <c r="E77" s="30"/>
      <c r="F77" s="184">
        <f t="shared" si="1"/>
        <v>3.0252991247487711E-5</v>
      </c>
      <c r="G77" s="216">
        <f t="shared" si="2"/>
        <v>3.011357182431719E-5</v>
      </c>
      <c r="H77" s="217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204">
        <v>14439.99</v>
      </c>
      <c r="D78" s="30"/>
      <c r="E78" s="30"/>
      <c r="F78" s="184">
        <f t="shared" si="1"/>
        <v>3.3427038946647025E-6</v>
      </c>
      <c r="G78" s="216">
        <f t="shared" si="2"/>
        <v>3.3272992080665564E-6</v>
      </c>
      <c r="H78" s="217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204">
        <v>33936391.5</v>
      </c>
      <c r="D79" s="30"/>
      <c r="E79" s="30"/>
      <c r="F79" s="184">
        <f t="shared" si="1"/>
        <v>7.8559131992415581E-3</v>
      </c>
      <c r="G79" s="216">
        <f t="shared" si="2"/>
        <v>7.8197096093963088E-3</v>
      </c>
      <c r="H79" s="217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204">
        <v>38669669.439999998</v>
      </c>
      <c r="D80" s="30"/>
      <c r="E80" s="30"/>
      <c r="F80" s="184">
        <f t="shared" si="1"/>
        <v>8.9516166314855226E-3</v>
      </c>
      <c r="G80" s="216">
        <f t="shared" si="2"/>
        <v>8.9103635462287369E-3</v>
      </c>
      <c r="H80" s="217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204">
        <v>24904793.079999998</v>
      </c>
      <c r="D81" s="30"/>
      <c r="E81" s="30"/>
      <c r="F81" s="184">
        <f t="shared" si="1"/>
        <v>5.7651943543128858E-3</v>
      </c>
      <c r="G81" s="216">
        <f t="shared" si="2"/>
        <v>5.7386257395015822E-3</v>
      </c>
      <c r="H81" s="217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204">
        <v>10150842.73945575</v>
      </c>
      <c r="D82" s="30"/>
      <c r="E82" s="30"/>
      <c r="F82" s="184">
        <f>IF(($C$83=0),0,(C82/$C$83))</f>
        <v>2.3498119845863923E-3</v>
      </c>
      <c r="G82" s="216">
        <f>IF(($C$69=0),0,(C82/$C$69))</f>
        <v>2.3389829915532677E-3</v>
      </c>
      <c r="H82" s="217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4319853165.2916374</v>
      </c>
      <c r="D83" s="182"/>
      <c r="E83" s="182"/>
      <c r="F83" s="183">
        <f>SUM(F73:F82)</f>
        <v>0.99999999999999967</v>
      </c>
      <c r="G83" s="218">
        <f>SUM(G73:H82)</f>
        <v>0.99539154915195016</v>
      </c>
      <c r="H83" s="219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22" t="str">
        <f>INDEX(Language!$D$2:$X$300,SUM(Language!AG87),IF(Overview!$A$1="EN",7,16))</f>
        <v>%</v>
      </c>
      <c r="H87" s="223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204">
        <v>24728963.48</v>
      </c>
      <c r="G88" s="216">
        <f>IF(($F$95=0),0,(F88/$F$95))</f>
        <v>5.6981106360399656E-3</v>
      </c>
      <c r="H88" s="217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204">
        <v>1442948234.3399999</v>
      </c>
      <c r="G89" s="216">
        <f t="shared" ref="G89:G94" si="3">IF(($F$95=0),0,(F89/$F$95))</f>
        <v>0.33248780071180895</v>
      </c>
      <c r="H89" s="217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204">
        <v>322494697.00376159</v>
      </c>
      <c r="G90" s="216">
        <f t="shared" si="3"/>
        <v>7.4310047994927922E-2</v>
      </c>
      <c r="H90" s="217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204">
        <v>10226169.75</v>
      </c>
      <c r="G91" s="216">
        <f t="shared" si="3"/>
        <v>2.3563400328344515E-3</v>
      </c>
      <c r="H91" s="217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204">
        <v>2191609387.4081998</v>
      </c>
      <c r="G92" s="216">
        <f t="shared" si="3"/>
        <v>0.50499620699976444</v>
      </c>
      <c r="H92" s="217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204">
        <v>205838044.94623843</v>
      </c>
      <c r="G93" s="216">
        <f t="shared" si="3"/>
        <v>4.7429725639670586E-2</v>
      </c>
      <c r="H93" s="217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204">
        <v>142007668.36343947</v>
      </c>
      <c r="G94" s="216">
        <f t="shared" si="3"/>
        <v>3.272176798495359E-2</v>
      </c>
      <c r="H94" s="217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4339853165.2916393</v>
      </c>
      <c r="G95" s="218">
        <f>SUM(G88:H94)</f>
        <v>1</v>
      </c>
      <c r="H95" s="219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20">
        <v>6.7544964260000002</v>
      </c>
      <c r="H99" s="221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204">
        <v>844071842.16999996</v>
      </c>
      <c r="D102" s="104">
        <f>IF(($C$107=0),0,(C102/$C$107))</f>
        <v>0.19449317984316608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204">
        <v>775949325.76999998</v>
      </c>
      <c r="D103" s="104">
        <f>IF(($C$107=0),0,(C103/$C$107))</f>
        <v>0.17879621641942264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204">
        <v>340132055.69999999</v>
      </c>
      <c r="D104" s="104">
        <f>IF(($C$107=0),0,(C104/$C$107))</f>
        <v>7.837409302697991E-2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204">
        <v>1149784497.1700001</v>
      </c>
      <c r="D105" s="104">
        <f>IF(($C$107=0),0,(C105/$C$107))</f>
        <v>0.26493626705288192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204">
        <v>1229915444.4816365</v>
      </c>
      <c r="D106" s="104">
        <f>IF(($C$107=0),0,(C106/$C$107))</f>
        <v>0.28340024365754929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4339853165.2916374</v>
      </c>
      <c r="D107" s="172">
        <f>SUM(D102:D106)</f>
        <v>0.99999999999999978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14" t="str">
        <f>INDEX(Language!$D$2:$X$300,SUM(Language!AB112),IF(Overview!$A$1="EN",2,11))</f>
        <v>WA residual life (incl. contractural amortisation)</v>
      </c>
      <c r="C112" s="215"/>
      <c r="D112" s="215"/>
      <c r="E112" s="132"/>
      <c r="F112" s="132"/>
      <c r="G112" s="132"/>
      <c r="H112" s="207">
        <v>9.9539964399999992</v>
      </c>
      <c r="I112" s="5"/>
    </row>
    <row r="113" spans="2:9" ht="15" x14ac:dyDescent="0.25">
      <c r="B113" s="212" t="str">
        <f>INDEX(Language!$D$2:$X$300,SUM(Language!AB113),IF(Overview!$A$1="EN",2,11))</f>
        <v>WA residual life (final legal maturity)</v>
      </c>
      <c r="C113" s="213"/>
      <c r="D113" s="213"/>
      <c r="E113" s="132"/>
      <c r="F113" s="132"/>
      <c r="G113" s="132"/>
      <c r="H113" s="207">
        <v>16.011185810000001</v>
      </c>
      <c r="I113" s="5"/>
    </row>
    <row r="114" spans="2:9" ht="15" customHeight="1" x14ac:dyDescent="0.25">
      <c r="B114" s="214" t="str">
        <f>INDEX(Language!$D$2:$X$300,SUM(Language!AB114),IF(Overview!$A$1="EN",2,11))</f>
        <v>WA residual life of issues (final legal maturity)</v>
      </c>
      <c r="C114" s="215"/>
      <c r="D114" s="215"/>
      <c r="E114" s="130"/>
      <c r="F114" s="130"/>
      <c r="G114" s="130"/>
      <c r="H114" s="207">
        <v>5.16734049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204">
        <v>95611397.379999995</v>
      </c>
      <c r="D118" s="104">
        <f>IF(($C$123=0),0,(C118/$C$123))</f>
        <v>2.2031021266954533E-2</v>
      </c>
      <c r="F118" s="7" t="str">
        <f>INDEX(Language!$D$2:$X$300,SUM(Language!AF118),IF(Overview!$A$1="EN",6,15))</f>
        <v>≤ 12 months</v>
      </c>
      <c r="G118" s="204">
        <v>578000000</v>
      </c>
      <c r="H118" s="104">
        <f>IF(($G$123=0),0,(G118/$G$123))</f>
        <v>0.15505281254750866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204">
        <v>173737610.23975563</v>
      </c>
      <c r="D119" s="104">
        <f>IF(($C$123=0),0,(C119/$C$123))</f>
        <v>4.0033061862377671E-2</v>
      </c>
      <c r="F119" s="7" t="str">
        <f>INDEX(Language!$D$2:$X$300,SUM(Language!AF119),IF(Overview!$A$1="EN",6,15))</f>
        <v>12 - 36 months</v>
      </c>
      <c r="G119" s="204">
        <v>1103378446.27</v>
      </c>
      <c r="H119" s="104">
        <f>IF(($G$123=0),0,(G119/$G$123))</f>
        <v>0.29598950068938351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204">
        <v>206863640.09466121</v>
      </c>
      <c r="D120" s="104">
        <f>IF(($C$123=0),0,(C120/$C$123))</f>
        <v>4.7666045881245858E-2</v>
      </c>
      <c r="F120" s="7" t="str">
        <f>INDEX(Language!$D$2:$X$300,SUM(Language!AF120),IF(Overview!$A$1="EN",6,15))</f>
        <v>36 - 60 months</v>
      </c>
      <c r="G120" s="204">
        <v>582650000</v>
      </c>
      <c r="H120" s="104">
        <f>IF(($G$123=0),0,(G120/$G$123))</f>
        <v>0.15630020974187878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204">
        <v>784590193.63</v>
      </c>
      <c r="D121" s="104">
        <f>IF(($C$123=0),0,(C121/$C$123))</f>
        <v>0.18078726716028787</v>
      </c>
      <c r="F121" s="7" t="str">
        <f>INDEX(Language!$D$2:$X$300,SUM(Language!AF121),IF(Overview!$A$1="EN",6,15))</f>
        <v>60 - 120 months</v>
      </c>
      <c r="G121" s="204">
        <v>1000000000</v>
      </c>
      <c r="H121" s="104">
        <f>IF(($G$123=0),0,(G121/$G$123))</f>
        <v>0.26825746115485927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204">
        <v>3079050323.9472198</v>
      </c>
      <c r="D122" s="104">
        <f>IF(($C$123=0),0,(C122/$C$123))</f>
        <v>0.70948260382913408</v>
      </c>
      <c r="F122" s="7" t="str">
        <f>INDEX(Language!$D$2:$X$300,SUM(Language!AF122),IF(Overview!$A$1="EN",6,15))</f>
        <v>≥ 120 months</v>
      </c>
      <c r="G122" s="204">
        <v>463733665.89999998</v>
      </c>
      <c r="H122" s="104">
        <f>IF(($G$123=0),0,(G122/$G$123))</f>
        <v>0.12440001586636974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4339853165.2916365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3727762112.1700001</v>
      </c>
      <c r="H123" s="172">
        <f>SUM(H118:H122)</f>
        <v>0.99999999999999989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206">
        <v>2146994316.8334394</v>
      </c>
      <c r="F145" s="7" t="str">
        <f>INDEX(Language!$D$2:$X$300,SUM(Language!AF145),IF(Overview!$A$1="EN",6,15))</f>
        <v>Variable, fixed rate during the year</v>
      </c>
      <c r="G145" s="8"/>
      <c r="H145" s="206">
        <v>600650000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206">
        <v>38368844.340000004</v>
      </c>
      <c r="F146" s="7" t="str">
        <f>INDEX(Language!$D$2:$X$300,SUM(Language!AF146),IF(Overview!$A$1="EN",6,15))</f>
        <v>Fixed rate, 1 - 2 years</v>
      </c>
      <c r="G146" s="8"/>
      <c r="H146" s="206">
        <v>542878446.26999998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206">
        <v>184467091.93819696</v>
      </c>
      <c r="F147" s="7" t="str">
        <f>INDEX(Language!$D$2:$X$300,SUM(Language!AF147),IF(Overview!$A$1="EN",6,15))</f>
        <v>Fixed rate, 2 - 5 years</v>
      </c>
      <c r="G147" s="8"/>
      <c r="H147" s="206">
        <v>1140500000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206">
        <v>1970022912.1800001</v>
      </c>
      <c r="F148" s="7" t="str">
        <f>INDEX(Language!$D$2:$X$300,SUM(Language!AF148),IF(Overview!$A$1="EN",6,15))</f>
        <v>Fixed rate, &gt; 5 years</v>
      </c>
      <c r="G148" s="8"/>
      <c r="H148" s="206">
        <v>1443733665.9000001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5">
        <f>SUM(D145:D148)</f>
        <v>4339853165.2916365</v>
      </c>
      <c r="F149" s="12" t="str">
        <f>INDEX(Language!$D$2:$X$300,SUM(Language!AF149),IF(Overview!$A$1="EN",6,15))</f>
        <v>Total</v>
      </c>
      <c r="G149" s="23"/>
      <c r="H149" s="185">
        <f>SUM(H145:H148)</f>
        <v>3727762112.1700001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C32" sqref="C32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8" t="str">
        <f>INDEX([2]Language!$D$2:$X$300,SUM([2]Language!AB207),IF([2]Overview!$A$1="EN",3,11))</f>
        <v>Overview</v>
      </c>
      <c r="C4" s="189"/>
      <c r="D4" s="188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8">
        <v>88720910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8">
        <v>88720910</v>
      </c>
    </row>
    <row r="8" spans="1:5" x14ac:dyDescent="0.25">
      <c r="B8" s="190" t="str">
        <f>INDEX([2]Language!$D$2:$X$300,SUM([2]Language!AB211),IF([2]Overview!$A$1="EN",3,11))</f>
        <v>Total</v>
      </c>
      <c r="C8" s="190"/>
      <c r="D8" s="186">
        <f>SUM(D5:D6)</f>
        <v>88720910</v>
      </c>
    </row>
    <row r="9" spans="1:5" x14ac:dyDescent="0.25">
      <c r="B9" s="190" t="str">
        <f>INDEX([2]Language!$D$2:$X$300,SUM([2]Language!AB212),IF([2]Overview!$A$1="EN",3,11))</f>
        <v>Additional cover pool (in % of total issues)</v>
      </c>
      <c r="C9" s="190"/>
      <c r="D9" s="187">
        <f>D8/[3]Primärdeckung!$C$14</f>
        <v>2.0330439814101146E-2</v>
      </c>
      <c r="E9" s="80"/>
    </row>
    <row r="11" spans="1:5" x14ac:dyDescent="0.25">
      <c r="B11" s="188" t="str">
        <f>INDEX([2]Language!$D$2:$X$300,SUM([2]Language!AB214),IF([2]Overview!$A$1="EN",3,11))</f>
        <v>Bonds by volume</v>
      </c>
      <c r="C11" s="189" t="str">
        <f>INDEX([2]Language!$D$2:$X$300,SUM([2]Language!AC214),IF([2]Overview!$A$1="EN",4,12))</f>
        <v>volume</v>
      </c>
      <c r="D11" s="191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>
        <v>1000000</v>
      </c>
      <c r="D12" s="48">
        <v>1</v>
      </c>
    </row>
    <row r="13" spans="1:5" x14ac:dyDescent="0.25">
      <c r="B13" s="38" t="str">
        <f>INDEX([2]Language!$D$2:$X$300,SUM([2]Language!AB216),IF([2]Overview!$A$1="EN",3,11))</f>
        <v>1.000.000 - 5.000.000</v>
      </c>
      <c r="C13" s="209">
        <v>7916450</v>
      </c>
      <c r="D13" s="210">
        <v>2</v>
      </c>
    </row>
    <row r="14" spans="1:5" x14ac:dyDescent="0.25">
      <c r="B14" s="38" t="str">
        <f>INDEX([2]Language!$D$2:$X$300,SUM([2]Language!AB217),IF([2]Overview!$A$1="EN",3,11))</f>
        <v>≥ 5.000.000</v>
      </c>
      <c r="C14" s="209">
        <v>79804460</v>
      </c>
      <c r="D14" s="210">
        <v>6</v>
      </c>
    </row>
    <row r="15" spans="1:5" x14ac:dyDescent="0.25">
      <c r="B15" s="190" t="str">
        <f>INDEX([2]Language!$D$2:$X$300,SUM([2]Language!AB218),IF([2]Overview!$A$1="EN",3,11))</f>
        <v>Total</v>
      </c>
      <c r="C15" s="192">
        <f>SUM(C12:C14)</f>
        <v>88720910</v>
      </c>
      <c r="D15" s="193">
        <f>SUM(D12:D14)</f>
        <v>9</v>
      </c>
    </row>
    <row r="17" spans="2:4" x14ac:dyDescent="0.25">
      <c r="B17" s="188" t="str">
        <f>INDEX([2]Language!$D$2:$X$300,SUM([2]Language!AB220),IF([2]Overview!$A$1="EN",3,11))</f>
        <v>Additional cover pool by currencies</v>
      </c>
      <c r="C17" s="189" t="str">
        <f>INDEX([2]Language!$D$2:$X$300,SUM([2]Language!AC220),IF([2]Overview!$A$1="EN",4,12))</f>
        <v>volume</v>
      </c>
      <c r="D17" s="191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9">
        <v>88720910</v>
      </c>
      <c r="D18" s="195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5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5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5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5">
        <f>IF(($C$23=0),0,(C22/$C$23))</f>
        <v>0</v>
      </c>
    </row>
    <row r="23" spans="2:4" x14ac:dyDescent="0.25">
      <c r="B23" s="190" t="str">
        <f>INDEX([2]Language!$D$2:$X$300,SUM([2]Language!AB226),IF([2]Overview!$A$1="EN",3,11))</f>
        <v>Total</v>
      </c>
      <c r="C23" s="192">
        <f>SUM(C18:C22)</f>
        <v>88720910</v>
      </c>
      <c r="D23" s="194">
        <f>SUM(D18:D22)</f>
        <v>1</v>
      </c>
    </row>
    <row r="25" spans="2:4" x14ac:dyDescent="0.25">
      <c r="B25" s="188" t="str">
        <f>INDEX([2]Language!$D$2:$X$300,SUM([2]Language!AB228),IF([2]Overview!$A$1="EN",3,11))</f>
        <v>Regional distribution of additional cover pool</v>
      </c>
      <c r="C25" s="189" t="str">
        <f>INDEX([2]Language!$D$2:$X$300,SUM([2]Language!AC228),IF([2]Overview!$A$1="EN",4,12))</f>
        <v>Volumen</v>
      </c>
      <c r="D25" s="191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6">
        <f>SUM(C27:C54)</f>
        <v>88720910</v>
      </c>
      <c r="D26" s="197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9">
        <v>66082960</v>
      </c>
      <c r="D27" s="198">
        <f>IF(($C$61=0),0,(C27/$C$61))</f>
        <v>0.74484087234903251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8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8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8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8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199">
        <v>12637950</v>
      </c>
      <c r="D32" s="198">
        <f t="shared" si="0"/>
        <v>0.14244612684878907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8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8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8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8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8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8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8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8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8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8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8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8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8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10000000</v>
      </c>
      <c r="D46" s="198">
        <f t="shared" si="0"/>
        <v>0.11271300080217843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8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8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199"/>
      <c r="D49" s="198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8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8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8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8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8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6">
        <f>SUM(C56:C58)</f>
        <v>0</v>
      </c>
      <c r="D55" s="197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7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7">
        <f>IF(($C$61=0),0,(C60/$C$61))</f>
        <v>0</v>
      </c>
    </row>
    <row r="61" spans="2:4" x14ac:dyDescent="0.25">
      <c r="B61" s="188" t="str">
        <f>INDEX([2]Language!$D$2:$X$300,SUM([2]Language!AB264),IF([2]Overview!$A$1="EN",3,11))</f>
        <v>Total</v>
      </c>
      <c r="C61" s="192">
        <f>C26+C55+C59+C60</f>
        <v>88720910</v>
      </c>
      <c r="D61" s="194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38" t="s">
        <v>169</v>
      </c>
      <c r="F2" s="238"/>
      <c r="G2" s="238"/>
      <c r="H2" s="84"/>
      <c r="I2" s="84" t="s">
        <v>0</v>
      </c>
      <c r="J2" s="211" t="s">
        <v>169</v>
      </c>
      <c r="K2" s="211"/>
      <c r="L2" s="211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24" t="s">
        <v>266</v>
      </c>
      <c r="K106" s="225"/>
      <c r="M106" s="2"/>
      <c r="N106" s="18"/>
      <c r="O106" s="19" t="s">
        <v>24</v>
      </c>
      <c r="P106" s="22"/>
      <c r="Q106" s="22"/>
      <c r="R106" s="19" t="s">
        <v>80</v>
      </c>
      <c r="S106" s="224" t="s">
        <v>117</v>
      </c>
      <c r="T106" s="225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34">
        <f>IF(($C$69=0),0,(F107/$C$69))</f>
        <v>0</v>
      </c>
      <c r="K107" s="235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34">
        <f>IF(($C$69=0),0,(O107/$C$69))</f>
        <v>0</v>
      </c>
      <c r="T107" s="235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34">
        <f t="shared" ref="J108:J114" si="5">IF(($C$69=0),0,(F108/$C$69))</f>
        <v>0</v>
      </c>
      <c r="K108" s="235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34">
        <f t="shared" ref="S108:S115" si="7">IF(($C$69=0),0,(O108/$C$69))</f>
        <v>0</v>
      </c>
      <c r="T108" s="235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34">
        <f t="shared" si="5"/>
        <v>0</v>
      </c>
      <c r="K109" s="235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34">
        <f t="shared" si="7"/>
        <v>0</v>
      </c>
      <c r="T109" s="235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34">
        <f t="shared" si="5"/>
        <v>0</v>
      </c>
      <c r="K110" s="235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34">
        <f t="shared" si="7"/>
        <v>0</v>
      </c>
      <c r="T110" s="235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34">
        <f t="shared" si="5"/>
        <v>0</v>
      </c>
      <c r="K111" s="235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34">
        <f t="shared" si="7"/>
        <v>0</v>
      </c>
      <c r="T111" s="235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34">
        <f t="shared" si="5"/>
        <v>0</v>
      </c>
      <c r="K112" s="235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34">
        <f t="shared" si="7"/>
        <v>0</v>
      </c>
      <c r="T112" s="235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34">
        <f t="shared" si="5"/>
        <v>0</v>
      </c>
      <c r="K113" s="235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34">
        <f t="shared" si="7"/>
        <v>0</v>
      </c>
      <c r="T113" s="235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34">
        <f t="shared" si="5"/>
        <v>0</v>
      </c>
      <c r="K114" s="235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34">
        <f t="shared" si="7"/>
        <v>0</v>
      </c>
      <c r="T114" s="235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34">
        <f>IF(($C$69=0),0,(F115/$C$69))</f>
        <v>0</v>
      </c>
      <c r="K115" s="235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34">
        <f t="shared" si="7"/>
        <v>0</v>
      </c>
      <c r="T115" s="235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34">
        <f>IF(($C$69=0),0,(F116/$C$69))</f>
        <v>0</v>
      </c>
      <c r="K116" s="235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34">
        <f>IF(($C$69=0),0,(O116/$C$69))</f>
        <v>0</v>
      </c>
      <c r="T116" s="235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8">
        <f>SUM(J107:K116)</f>
        <v>0</v>
      </c>
      <c r="K117" s="229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8">
        <f>SUM(S107:T116)</f>
        <v>0</v>
      </c>
      <c r="T117" s="229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26" t="s">
        <v>274</v>
      </c>
      <c r="F121" s="227"/>
      <c r="G121" s="119"/>
      <c r="H121" s="119"/>
      <c r="I121" s="119" t="s">
        <v>217</v>
      </c>
      <c r="J121" s="222" t="s">
        <v>41</v>
      </c>
      <c r="K121" s="223"/>
      <c r="M121" s="2"/>
      <c r="N121" s="226" t="s">
        <v>160</v>
      </c>
      <c r="O121" s="227"/>
      <c r="P121" s="127"/>
      <c r="Q121" s="127"/>
      <c r="R121" s="127" t="s">
        <v>24</v>
      </c>
      <c r="S121" s="222" t="s">
        <v>41</v>
      </c>
      <c r="T121" s="223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39" t="s">
        <v>275</v>
      </c>
      <c r="F122" s="240"/>
      <c r="G122" s="8"/>
      <c r="H122" s="8"/>
      <c r="I122" s="67">
        <v>20000000</v>
      </c>
      <c r="J122" s="234">
        <f>IF(($F$95=0),0,(I122/$F$95))</f>
        <v>1</v>
      </c>
      <c r="K122" s="235"/>
      <c r="M122" s="2"/>
      <c r="N122" s="232" t="s">
        <v>158</v>
      </c>
      <c r="O122" s="233"/>
      <c r="P122" s="8"/>
      <c r="Q122" s="8"/>
      <c r="R122" s="67">
        <v>9999999999</v>
      </c>
      <c r="S122" s="234">
        <f>IF(($F$95=0),0,(R122/$F$95))</f>
        <v>499.99999995000002</v>
      </c>
      <c r="T122" s="235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41" t="s">
        <v>276</v>
      </c>
      <c r="F123" s="242"/>
      <c r="G123" s="8"/>
      <c r="H123" s="8"/>
      <c r="I123" s="67">
        <v>20000000</v>
      </c>
      <c r="J123" s="234">
        <f>IF(($F$95=0),0,(I123/$F$95))</f>
        <v>1</v>
      </c>
      <c r="K123" s="235"/>
      <c r="M123" s="2"/>
      <c r="N123" s="232" t="s">
        <v>155</v>
      </c>
      <c r="O123" s="233"/>
      <c r="P123" s="8"/>
      <c r="Q123" s="8"/>
      <c r="R123" s="67">
        <v>0</v>
      </c>
      <c r="S123" s="234">
        <f t="shared" ref="S123:S128" si="8">IF(($F$95=0),0,(R123/$F$95))</f>
        <v>0</v>
      </c>
      <c r="T123" s="235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41" t="s">
        <v>277</v>
      </c>
      <c r="F124" s="242"/>
      <c r="G124" s="8"/>
      <c r="H124" s="8"/>
      <c r="I124" s="67">
        <v>20000000</v>
      </c>
      <c r="J124" s="234">
        <f t="shared" ref="J124:J128" si="9">IF(($F$95=0),0,(I124/$F$95))</f>
        <v>1</v>
      </c>
      <c r="K124" s="235"/>
      <c r="M124" s="2"/>
      <c r="N124" s="236" t="s">
        <v>154</v>
      </c>
      <c r="O124" s="237"/>
      <c r="P124" s="8"/>
      <c r="Q124" s="8"/>
      <c r="R124" s="67">
        <v>0</v>
      </c>
      <c r="S124" s="234">
        <f t="shared" si="8"/>
        <v>0</v>
      </c>
      <c r="T124" s="235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41" t="s">
        <v>278</v>
      </c>
      <c r="F125" s="242"/>
      <c r="G125" s="8"/>
      <c r="H125" s="8"/>
      <c r="I125" s="67">
        <v>20000000</v>
      </c>
      <c r="J125" s="234">
        <f t="shared" si="9"/>
        <v>1</v>
      </c>
      <c r="K125" s="235"/>
      <c r="M125" s="2"/>
      <c r="N125" s="232" t="s">
        <v>157</v>
      </c>
      <c r="O125" s="233"/>
      <c r="P125" s="8"/>
      <c r="Q125" s="8"/>
      <c r="R125" s="67">
        <v>9999999999</v>
      </c>
      <c r="S125" s="234">
        <f t="shared" si="8"/>
        <v>499.99999995000002</v>
      </c>
      <c r="T125" s="235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41" t="s">
        <v>279</v>
      </c>
      <c r="F126" s="242"/>
      <c r="G126" s="8"/>
      <c r="H126" s="8"/>
      <c r="I126" s="67">
        <v>20000000</v>
      </c>
      <c r="J126" s="234">
        <f t="shared" si="9"/>
        <v>1</v>
      </c>
      <c r="K126" s="235"/>
      <c r="M126" s="2"/>
      <c r="N126" s="232" t="s">
        <v>156</v>
      </c>
      <c r="O126" s="233"/>
      <c r="P126" s="8"/>
      <c r="Q126" s="8"/>
      <c r="R126" s="67">
        <v>559101638.75</v>
      </c>
      <c r="S126" s="234">
        <f t="shared" si="8"/>
        <v>27.955081937500001</v>
      </c>
      <c r="T126" s="235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41" t="s">
        <v>280</v>
      </c>
      <c r="F127" s="242"/>
      <c r="G127" s="8"/>
      <c r="H127" s="8"/>
      <c r="I127" s="67">
        <v>20000000</v>
      </c>
      <c r="J127" s="234">
        <f t="shared" si="9"/>
        <v>1</v>
      </c>
      <c r="K127" s="235"/>
      <c r="M127" s="2"/>
      <c r="N127" s="232" t="s">
        <v>159</v>
      </c>
      <c r="O127" s="233"/>
      <c r="P127" s="8"/>
      <c r="Q127" s="8"/>
      <c r="R127" s="67">
        <v>442366849.20999998</v>
      </c>
      <c r="S127" s="234">
        <f t="shared" si="8"/>
        <v>22.118342460499999</v>
      </c>
      <c r="T127" s="235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41" t="s">
        <v>281</v>
      </c>
      <c r="F128" s="242"/>
      <c r="G128" s="8"/>
      <c r="H128" s="8"/>
      <c r="I128" s="67">
        <v>20000000</v>
      </c>
      <c r="J128" s="234">
        <f t="shared" si="9"/>
        <v>1</v>
      </c>
      <c r="K128" s="235"/>
      <c r="M128" s="2"/>
      <c r="N128" s="232" t="s">
        <v>168</v>
      </c>
      <c r="O128" s="233"/>
      <c r="P128" s="8"/>
      <c r="Q128" s="8"/>
      <c r="R128" s="67">
        <v>2333333</v>
      </c>
      <c r="S128" s="234">
        <f t="shared" si="8"/>
        <v>0.11666665</v>
      </c>
      <c r="T128" s="235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26" t="s">
        <v>224</v>
      </c>
      <c r="F129" s="227"/>
      <c r="G129" s="23"/>
      <c r="H129" s="23"/>
      <c r="I129" s="72">
        <f>SUM(I122:I128)</f>
        <v>140000000</v>
      </c>
      <c r="J129" s="228">
        <f>SUM(J122:K128)</f>
        <v>7</v>
      </c>
      <c r="K129" s="229"/>
      <c r="M129" s="2"/>
      <c r="N129" s="226" t="s">
        <v>30</v>
      </c>
      <c r="O129" s="227"/>
      <c r="P129" s="23"/>
      <c r="Q129" s="23"/>
      <c r="R129" s="72">
        <f>SUM(R122:R128)</f>
        <v>21003801818.959999</v>
      </c>
      <c r="S129" s="228">
        <f>SUM(S122:T128)</f>
        <v>1050.190090948</v>
      </c>
      <c r="T129" s="229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30">
        <v>5</v>
      </c>
      <c r="K133" s="231"/>
      <c r="M133" s="2"/>
      <c r="N133" s="32" t="s">
        <v>177</v>
      </c>
      <c r="O133" s="33"/>
      <c r="P133" s="33"/>
      <c r="Q133" s="33"/>
      <c r="R133" s="33"/>
      <c r="S133" s="230">
        <v>5</v>
      </c>
      <c r="T133" s="231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36" t="s">
        <v>290</v>
      </c>
      <c r="F146" s="233"/>
      <c r="G146" s="233"/>
      <c r="H146" s="233"/>
      <c r="I146" s="233"/>
      <c r="J146" s="233"/>
      <c r="K146" s="133">
        <v>5</v>
      </c>
      <c r="M146" s="2"/>
      <c r="N146" s="214" t="s">
        <v>172</v>
      </c>
      <c r="O146" s="213"/>
      <c r="P146" s="213"/>
      <c r="Q146" s="213"/>
      <c r="R146" s="213"/>
      <c r="S146" s="213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36" t="s">
        <v>291</v>
      </c>
      <c r="F147" s="233"/>
      <c r="G147" s="233"/>
      <c r="H147" s="233"/>
      <c r="I147" s="233"/>
      <c r="J147" s="233"/>
      <c r="K147" s="133">
        <v>5</v>
      </c>
      <c r="M147" s="2"/>
      <c r="N147" s="212" t="s">
        <v>173</v>
      </c>
      <c r="O147" s="213"/>
      <c r="P147" s="213"/>
      <c r="Q147" s="213"/>
      <c r="R147" s="213"/>
      <c r="S147" s="213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36" t="s">
        <v>292</v>
      </c>
      <c r="F148" s="233"/>
      <c r="G148" s="233"/>
      <c r="H148" s="233"/>
      <c r="I148" s="233"/>
      <c r="J148" s="233"/>
      <c r="K148" s="133">
        <v>5</v>
      </c>
      <c r="M148" s="2"/>
      <c r="N148" s="214" t="s">
        <v>146</v>
      </c>
      <c r="O148" s="215"/>
      <c r="P148" s="215"/>
      <c r="Q148" s="215"/>
      <c r="R148" s="215"/>
      <c r="S148" s="215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2020-10-08T13:25:06Z</dcterms:modified>
</cp:coreProperties>
</file>