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1\2021-03\"/>
    </mc:Choice>
  </mc:AlternateContent>
  <xr:revisionPtr revIDLastSave="0" documentId="13_ncr:1_{DAE38265-CA0E-40E0-B5FF-1756D7C177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Overview!$D$32</definedName>
    <definedName name="ANZAHL_SCHULDNER">Overview!$D$18</definedName>
    <definedName name="_xlnm.Print_Area" localSheetId="2">Ersatzdeckung!$A$1:$E$63</definedName>
    <definedName name="_xlnm.Print_Area" localSheetId="0">Overview!$A$1:$E$34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  <definedName name="x">Overview!$D$12</definedName>
    <definedName name="xx">Overview!$D$32</definedName>
    <definedName name="xxx">Overview!$D$17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C55" i="3" l="1"/>
  <c r="C26" i="3"/>
  <c r="C23" i="3"/>
  <c r="D18" i="3" s="1"/>
  <c r="D15" i="3"/>
  <c r="C15" i="3"/>
  <c r="D8" i="3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H149" i="2"/>
  <c r="D149" i="2"/>
  <c r="D37" i="3" l="1"/>
  <c r="D59" i="3"/>
  <c r="D43" i="3"/>
  <c r="D23" i="3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3" i="1"/>
  <c r="C21" i="1"/>
  <c r="C20" i="1"/>
  <c r="C13" i="1"/>
  <c r="C12" i="1"/>
  <c r="G103" i="5" l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<sst xmlns="http://schemas.openxmlformats.org/spreadsheetml/2006/main" count="636" uniqueCount="321">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</sst>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9" fontId="2" fillId="4" borderId="12" xfId="1" applyNumberFormat="1" applyFont="1" applyFill="1" applyBorder="1" applyAlignment="1">
      <alignment horizontal="center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780539301.75</c:v>
                </c:pt>
                <c:pt idx="1">
                  <c:v>893306348.45000005</c:v>
                </c:pt>
                <c:pt idx="2">
                  <c:v>344726370.64999998</c:v>
                </c:pt>
                <c:pt idx="3">
                  <c:v>1094264468.4400001</c:v>
                </c:pt>
                <c:pt idx="4">
                  <c:v>1212039185.6907859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732682305.44136405</c:v>
                </c:pt>
                <c:pt idx="1">
                  <c:v>307931523.38544714</c:v>
                </c:pt>
                <c:pt idx="2">
                  <c:v>249826531.80000001</c:v>
                </c:pt>
                <c:pt idx="3">
                  <c:v>376013516.17000002</c:v>
                </c:pt>
                <c:pt idx="4">
                  <c:v>673144429.4842006</c:v>
                </c:pt>
                <c:pt idx="5">
                  <c:v>1985277368.699774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58780076.350000001</c:v>
                </c:pt>
                <c:pt idx="1">
                  <c:v>173378385.92303523</c:v>
                </c:pt>
                <c:pt idx="2">
                  <c:v>196622710.45977417</c:v>
                </c:pt>
                <c:pt idx="3">
                  <c:v>769877753.12</c:v>
                </c:pt>
                <c:pt idx="4">
                  <c:v>3126216749.1279764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96840789.230000004</c:v>
                </c:pt>
                <c:pt idx="1">
                  <c:v>1070500000</c:v>
                </c:pt>
                <c:pt idx="2">
                  <c:v>627650000</c:v>
                </c:pt>
                <c:pt idx="3">
                  <c:v>975000000</c:v>
                </c:pt>
                <c:pt idx="4">
                  <c:v>424038400.38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780539301.75</c:v>
                </c:pt>
                <c:pt idx="1">
                  <c:v>893306348.45000005</c:v>
                </c:pt>
                <c:pt idx="2">
                  <c:v>344726370.64999998</c:v>
                </c:pt>
                <c:pt idx="3">
                  <c:v>1094264468.4400001</c:v>
                </c:pt>
                <c:pt idx="4">
                  <c:v>1212039185.6907859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732682305.44136405</c:v>
                </c:pt>
                <c:pt idx="1">
                  <c:v>307931523.38544714</c:v>
                </c:pt>
                <c:pt idx="2">
                  <c:v>249826531.80000001</c:v>
                </c:pt>
                <c:pt idx="3">
                  <c:v>376013516.17000002</c:v>
                </c:pt>
                <c:pt idx="4">
                  <c:v>673144429.4842006</c:v>
                </c:pt>
                <c:pt idx="5">
                  <c:v>1985277368.699774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58780076.350000001</c:v>
                </c:pt>
                <c:pt idx="1">
                  <c:v>173378385.92303523</c:v>
                </c:pt>
                <c:pt idx="2">
                  <c:v>196622710.45977417</c:v>
                </c:pt>
                <c:pt idx="3">
                  <c:v>769877753.12</c:v>
                </c:pt>
                <c:pt idx="4">
                  <c:v>3126216749.1279764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96840789.230000004</c:v>
                </c:pt>
                <c:pt idx="1">
                  <c:v>1070500000</c:v>
                </c:pt>
                <c:pt idx="2">
                  <c:v>627650000</c:v>
                </c:pt>
                <c:pt idx="3">
                  <c:v>975000000</c:v>
                </c:pt>
                <c:pt idx="4">
                  <c:v>424038400.38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andbriefforumsreport%20&#246;ffentlicher%20Pfandbrief%2031.03.2021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/>
      <sheetData sheetId="1">
        <row r="14">
          <cell r="C14">
            <v>4324875674.9807863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workbookViewId="0">
      <selection activeCell="D11" sqref="D11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10" t="s">
        <v>315</v>
      </c>
      <c r="D1" s="210"/>
      <c r="E1" s="210"/>
      <c r="F1" s="161"/>
    </row>
    <row r="2" spans="1:6" x14ac:dyDescent="0.25">
      <c r="B2" s="80" t="str">
        <f>INDEX(Language!D2:M33,2,IF(A1="EN",1,6))</f>
        <v>Report Date</v>
      </c>
      <c r="D2" s="86">
        <v>44286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201">
        <v>0.12036777894518508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199">
        <v>3194029189.6100001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199">
        <v>4413099834.9807863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200">
        <v>49032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200">
        <v>43169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200">
        <v>101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199">
        <v>102228.44714912985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199">
        <v>90004.483500179194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201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201">
        <v>0.16828245744965453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201">
        <v>0.52494310871212191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201">
        <v>6.5586615191021616E-2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201">
        <v>1.7678593406300763E-2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201">
        <v>0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201">
        <v>0.51310223085377105</v>
      </c>
      <c r="E28" s="94"/>
      <c r="F28" s="163"/>
    </row>
    <row r="29" spans="2:6" ht="16.5" customHeight="1" x14ac:dyDescent="0.25">
      <c r="B29" s="94" t="s">
        <v>320</v>
      </c>
      <c r="C29" s="95"/>
      <c r="D29" s="201">
        <v>0.38167172965618335</v>
      </c>
      <c r="E29" s="94"/>
      <c r="F29" s="163"/>
    </row>
    <row r="30" spans="2:6" ht="16.5" customHeight="1" x14ac:dyDescent="0.25">
      <c r="B30" s="94" t="str">
        <f>INDEX(Language!D2:M33,29,IF(A1="EN",1,6))</f>
        <v>Nominal over-collateralisation (total cover pool / outstanding issues in %)</v>
      </c>
      <c r="C30" s="95"/>
      <c r="D30" s="201">
        <v>0.52945625602621305</v>
      </c>
      <c r="E30" s="160"/>
      <c r="F30" s="163"/>
    </row>
    <row r="31" spans="2:6" ht="16.5" customHeight="1" x14ac:dyDescent="0.25">
      <c r="B31" s="94" t="str">
        <f>INDEX(Language!D2:M33,30,IF(A1="EN",1,6))</f>
        <v>Present value over-collateralisation (PV total cover pool / PV outstanding issues in %)</v>
      </c>
      <c r="C31" s="95"/>
      <c r="D31" s="200">
        <v>54</v>
      </c>
      <c r="E31" s="94"/>
      <c r="F31" s="163"/>
    </row>
    <row r="32" spans="2:6" ht="16.5" customHeight="1" x14ac:dyDescent="0.25">
      <c r="B32" s="94" t="str">
        <f>INDEX(Language!D2:M33,31,IF(A1="EN",1,6))</f>
        <v>Number of issues</v>
      </c>
      <c r="C32" s="95"/>
      <c r="D32" s="200">
        <v>55</v>
      </c>
      <c r="E32" s="94"/>
      <c r="F32" s="151"/>
    </row>
    <row r="33" spans="2:6" ht="16.5" customHeight="1" x14ac:dyDescent="0.25">
      <c r="B33" s="94" t="str">
        <f>INDEX(Language!D2:M33,32,IF(A1="EN",1,6))</f>
        <v>Average issue size</v>
      </c>
      <c r="C33" s="95" t="str">
        <f>INDEX(Language!D2:M33,32,IF(A1="EN",2,7))</f>
        <v>in mn</v>
      </c>
      <c r="D33" s="209">
        <v>59148688.696481481</v>
      </c>
      <c r="E33" s="94"/>
      <c r="F33" s="166"/>
    </row>
  </sheetData>
  <mergeCells count="1">
    <mergeCell ref="C1:E1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Normal="100" zoomScalePageLayoutView="85" workbookViewId="0">
      <selection activeCell="F122" sqref="F122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1040613828.8268112</v>
      </c>
      <c r="D6" s="176">
        <f>SUM(D7:D8)</f>
        <v>47374</v>
      </c>
      <c r="I6" s="5"/>
    </row>
    <row r="7" spans="1:9" ht="15" x14ac:dyDescent="0.25">
      <c r="A7" s="57" t="s">
        <v>128</v>
      </c>
      <c r="B7" s="175" t="s">
        <v>123</v>
      </c>
      <c r="C7" s="202">
        <v>732682305.44136405</v>
      </c>
      <c r="D7" s="203">
        <v>45740</v>
      </c>
      <c r="I7" s="5"/>
    </row>
    <row r="8" spans="1:9" ht="15" x14ac:dyDescent="0.25">
      <c r="A8" s="57" t="s">
        <v>130</v>
      </c>
      <c r="B8" s="175" t="s">
        <v>124</v>
      </c>
      <c r="C8" s="202">
        <v>307931523.38544714</v>
      </c>
      <c r="D8" s="203">
        <v>1634</v>
      </c>
      <c r="I8" s="5"/>
    </row>
    <row r="9" spans="1:9" ht="15" x14ac:dyDescent="0.25">
      <c r="A9" s="57"/>
      <c r="B9" s="177" t="s">
        <v>27</v>
      </c>
      <c r="C9" s="103">
        <f>SUM(C10:C12)</f>
        <v>1298984477.4542007</v>
      </c>
      <c r="D9" s="176">
        <f>SUM(D10:D12)</f>
        <v>1551</v>
      </c>
      <c r="I9" s="5"/>
    </row>
    <row r="10" spans="1:9" ht="15" x14ac:dyDescent="0.25">
      <c r="A10" s="57" t="s">
        <v>131</v>
      </c>
      <c r="B10" s="177" t="s">
        <v>125</v>
      </c>
      <c r="C10" s="202">
        <v>249826531.80000001</v>
      </c>
      <c r="D10" s="203">
        <v>648</v>
      </c>
      <c r="I10" s="5"/>
    </row>
    <row r="11" spans="1:9" ht="15" x14ac:dyDescent="0.25">
      <c r="A11" s="57" t="s">
        <v>132</v>
      </c>
      <c r="B11" s="177" t="s">
        <v>126</v>
      </c>
      <c r="C11" s="202">
        <v>376013516.17000002</v>
      </c>
      <c r="D11" s="203">
        <v>551</v>
      </c>
      <c r="I11" s="5"/>
    </row>
    <row r="12" spans="1:9" ht="15" x14ac:dyDescent="0.25">
      <c r="A12" s="57" t="s">
        <v>133</v>
      </c>
      <c r="B12" s="177" t="s">
        <v>127</v>
      </c>
      <c r="C12" s="202">
        <v>673144429.4842006</v>
      </c>
      <c r="D12" s="203">
        <v>352</v>
      </c>
      <c r="I12" s="5"/>
    </row>
    <row r="13" spans="1:9" ht="15" x14ac:dyDescent="0.25">
      <c r="A13" s="57" t="s">
        <v>134</v>
      </c>
      <c r="B13" s="177" t="s">
        <v>29</v>
      </c>
      <c r="C13" s="202">
        <v>1985277368.699774</v>
      </c>
      <c r="D13" s="203">
        <v>101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4324875674.9807863</v>
      </c>
      <c r="D14" s="181">
        <f>D13+D9+D6</f>
        <v>49026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204">
        <v>4248417956.3899999</v>
      </c>
      <c r="F23" s="7" t="str">
        <f>INDEX(Language!$D$2:$X$300,SUM(Language!AF23),IF(Overview!$A$1="EN",6,15))</f>
        <v>in EUR</v>
      </c>
      <c r="G23" s="8"/>
      <c r="H23" s="204">
        <v>3194029189.6100001</v>
      </c>
      <c r="I23" s="5"/>
    </row>
    <row r="24" spans="1:9" ht="15" x14ac:dyDescent="0.25">
      <c r="B24" s="102" t="s">
        <v>36</v>
      </c>
      <c r="C24" s="178"/>
      <c r="D24" s="204">
        <v>76457718.590785876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4324875674.9807854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3194029189.6100001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4324875674.9807863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202">
        <v>4304875674.9807863</v>
      </c>
      <c r="D35" s="104">
        <f>IF(($C$69=0),0,(C35/$C$69))</f>
        <v>0.99537558961158146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4.6244103884185879E-3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4324875674.9807863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23" t="str">
        <f>INDEX(Language!$D$2:$X$300,SUM(Language!AG72),IF(Overview!$A$1="EN",7,16))</f>
        <v>Share in total</v>
      </c>
      <c r="H72" s="224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202"/>
      <c r="D73" s="30"/>
      <c r="E73" s="30"/>
      <c r="F73" s="184">
        <f>IF(($C$83=0),0,(C73/$C$83))</f>
        <v>0</v>
      </c>
      <c r="G73" s="215">
        <f>IF(($C$69=0),0,(C73/$C$69))</f>
        <v>0</v>
      </c>
      <c r="H73" s="216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202">
        <v>337385502.48000002</v>
      </c>
      <c r="D74" s="30"/>
      <c r="E74" s="30"/>
      <c r="F74" s="184">
        <f t="shared" ref="F74:F81" si="1">IF(($C$83=0),0,(C74/$C$83))</f>
        <v>7.8372879486584904E-2</v>
      </c>
      <c r="G74" s="215">
        <f t="shared" ref="G74:G81" si="2">IF(($C$69=0),0,(C74/$C$69))</f>
        <v>7.8010451128516858E-2</v>
      </c>
      <c r="H74" s="216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202">
        <v>3746689870.4619513</v>
      </c>
      <c r="D75" s="30"/>
      <c r="E75" s="30"/>
      <c r="F75" s="184">
        <f t="shared" si="1"/>
        <v>0.87033637051055457</v>
      </c>
      <c r="G75" s="215">
        <f t="shared" si="2"/>
        <v>0.86631157795734703</v>
      </c>
      <c r="H75" s="216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202">
        <v>91729197.859999999</v>
      </c>
      <c r="D76" s="30"/>
      <c r="E76" s="30"/>
      <c r="F76" s="184">
        <f t="shared" si="1"/>
        <v>2.1308210686109864E-2</v>
      </c>
      <c r="G76" s="215">
        <f t="shared" si="2"/>
        <v>2.1209672775254405E-2</v>
      </c>
      <c r="H76" s="216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202">
        <v>39280.19</v>
      </c>
      <c r="D77" s="30"/>
      <c r="E77" s="30"/>
      <c r="F77" s="184">
        <f t="shared" si="1"/>
        <v>9.1245817453660428E-6</v>
      </c>
      <c r="G77" s="215">
        <f t="shared" si="2"/>
        <v>9.0823859347527976E-6</v>
      </c>
      <c r="H77" s="216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202">
        <v>10883.65</v>
      </c>
      <c r="D78" s="30"/>
      <c r="E78" s="30"/>
      <c r="F78" s="184">
        <f t="shared" si="1"/>
        <v>2.5282147085580064E-6</v>
      </c>
      <c r="G78" s="215">
        <f t="shared" si="2"/>
        <v>2.5165232061955982E-6</v>
      </c>
      <c r="H78" s="216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202">
        <v>35936135.689999998</v>
      </c>
      <c r="D79" s="30"/>
      <c r="E79" s="30"/>
      <c r="F79" s="184">
        <f t="shared" si="1"/>
        <v>8.3477754999650225E-3</v>
      </c>
      <c r="G79" s="215">
        <f t="shared" si="2"/>
        <v>8.3091719602227977E-3</v>
      </c>
      <c r="H79" s="216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202">
        <v>48459411.630000003</v>
      </c>
      <c r="D80" s="30"/>
      <c r="E80" s="30"/>
      <c r="F80" s="184">
        <f t="shared" si="1"/>
        <v>1.1256866699226173E-2</v>
      </c>
      <c r="G80" s="215">
        <f t="shared" si="2"/>
        <v>1.1204810327921227E-2</v>
      </c>
      <c r="H80" s="216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202">
        <v>24973200.699999999</v>
      </c>
      <c r="D81" s="30"/>
      <c r="E81" s="30"/>
      <c r="F81" s="184">
        <f t="shared" si="1"/>
        <v>5.8011433048206348E-3</v>
      </c>
      <c r="G81" s="215">
        <f t="shared" si="2"/>
        <v>5.7743164374571172E-3</v>
      </c>
      <c r="H81" s="216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202">
        <v>19652192.318834681</v>
      </c>
      <c r="D82" s="30"/>
      <c r="E82" s="30"/>
      <c r="F82" s="184">
        <f>IF(($C$83=0),0,(C82/$C$83))</f>
        <v>4.5651010162848418E-3</v>
      </c>
      <c r="G82" s="215">
        <f>IF(($C$69=0),0,(C82/$C$69))</f>
        <v>4.543990115720954E-3</v>
      </c>
      <c r="H82" s="216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4304875674.9807863</v>
      </c>
      <c r="D83" s="182"/>
      <c r="E83" s="182"/>
      <c r="F83" s="183">
        <f>SUM(F73:F82)</f>
        <v>1</v>
      </c>
      <c r="G83" s="217">
        <f>SUM(G73:H82)</f>
        <v>0.99537558961158135</v>
      </c>
      <c r="H83" s="218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21" t="str">
        <f>INDEX(Language!$D$2:$X$300,SUM(Language!AG87),IF(Overview!$A$1="EN",7,16))</f>
        <v>%</v>
      </c>
      <c r="H87" s="222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202">
        <v>24145847.16</v>
      </c>
      <c r="G88" s="215">
        <f>IF(($F$95=0),0,(F88/$F$95))</f>
        <v>5.5830153221935724E-3</v>
      </c>
      <c r="H88" s="216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202">
        <v>1458618864.5899999</v>
      </c>
      <c r="G89" s="215">
        <f t="shared" ref="G89:G94" si="3">IF(($F$95=0),0,(F89/$F$95))</f>
        <v>0.33726261150766607</v>
      </c>
      <c r="H89" s="216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202">
        <v>401818339.63101178</v>
      </c>
      <c r="G90" s="215">
        <f t="shared" si="3"/>
        <v>9.2908645202337964E-2</v>
      </c>
      <c r="H90" s="216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202">
        <v>12794998.640000001</v>
      </c>
      <c r="G91" s="215">
        <f t="shared" si="3"/>
        <v>2.958466231530885E-3</v>
      </c>
      <c r="H91" s="216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202">
        <v>2090805582.41785</v>
      </c>
      <c r="G92" s="215">
        <f t="shared" si="3"/>
        <v>0.48343715277483407</v>
      </c>
      <c r="H92" s="216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202">
        <v>195552360.31</v>
      </c>
      <c r="G93" s="215">
        <f t="shared" si="3"/>
        <v>4.5215718324866934E-2</v>
      </c>
      <c r="H93" s="216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202">
        <v>141139682.23192412</v>
      </c>
      <c r="G94" s="215">
        <f t="shared" si="3"/>
        <v>3.2634390636570414E-2</v>
      </c>
      <c r="H94" s="216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4324875674.9807863</v>
      </c>
      <c r="G95" s="217">
        <f>SUM(G88:H94)</f>
        <v>0.99999999999999989</v>
      </c>
      <c r="H95" s="218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19">
        <v>6.6816530329999999</v>
      </c>
      <c r="H99" s="220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202">
        <v>780539301.75</v>
      </c>
      <c r="D102" s="104">
        <f>IF(($C$107=0),0,(C102/$C$107))</f>
        <v>0.18047670277908459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202">
        <v>893306348.45000005</v>
      </c>
      <c r="D103" s="104">
        <f>IF(($C$107=0),0,(C103/$C$107))</f>
        <v>0.2065507578906228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202">
        <v>344726370.64999998</v>
      </c>
      <c r="D104" s="104">
        <f>IF(($C$107=0),0,(C104/$C$107))</f>
        <v>7.9707810479784841E-2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202">
        <v>1094264468.4400001</v>
      </c>
      <c r="D105" s="104">
        <f>IF(($C$107=0),0,(C105/$C$107))</f>
        <v>0.25301639877656407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202">
        <v>1212039185.6907859</v>
      </c>
      <c r="D106" s="104">
        <f>IF(($C$107=0),0,(C106/$C$107))</f>
        <v>0.28024833007394384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4324875674.9807854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13" t="str">
        <f>INDEX(Language!$D$2:$X$300,SUM(Language!AB112),IF(Overview!$A$1="EN",2,11))</f>
        <v>WA residual life (incl. contractural amortisation)</v>
      </c>
      <c r="C112" s="214"/>
      <c r="D112" s="214"/>
      <c r="E112" s="132"/>
      <c r="F112" s="132"/>
      <c r="G112" s="132"/>
      <c r="H112" s="205">
        <v>9.8661008199999998</v>
      </c>
      <c r="I112" s="5"/>
    </row>
    <row r="113" spans="2:9" ht="15" x14ac:dyDescent="0.25">
      <c r="B113" s="211" t="str">
        <f>INDEX(Language!$D$2:$X$300,SUM(Language!AB113),IF(Overview!$A$1="EN",2,11))</f>
        <v>WA residual life (final legal maturity)</v>
      </c>
      <c r="C113" s="212"/>
      <c r="D113" s="212"/>
      <c r="E113" s="132"/>
      <c r="F113" s="132"/>
      <c r="G113" s="132"/>
      <c r="H113" s="205">
        <v>16.002517149999999</v>
      </c>
      <c r="I113" s="5"/>
    </row>
    <row r="114" spans="2:9" ht="15" customHeight="1" x14ac:dyDescent="0.25">
      <c r="B114" s="213" t="str">
        <f>INDEX(Language!$D$2:$X$300,SUM(Language!AB114),IF(Overview!$A$1="EN",2,11))</f>
        <v>WA residual life of issues (final legal maturity)</v>
      </c>
      <c r="C114" s="214"/>
      <c r="D114" s="214"/>
      <c r="E114" s="130"/>
      <c r="F114" s="130"/>
      <c r="G114" s="130"/>
      <c r="H114" s="205">
        <v>5.49446879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202">
        <v>58780076.350000001</v>
      </c>
      <c r="D118" s="104">
        <f>IF(($C$123=0),0,(C118/$C$123))</f>
        <v>1.359115978524889E-2</v>
      </c>
      <c r="F118" s="7" t="str">
        <f>INDEX(Language!$D$2:$X$300,SUM(Language!AF118),IF(Overview!$A$1="EN",6,15))</f>
        <v>≤ 12 months</v>
      </c>
      <c r="G118" s="202">
        <v>96840789.230000004</v>
      </c>
      <c r="H118" s="104">
        <f>IF(($G$123=0),0,(G118/$G$123))</f>
        <v>3.0319318791768631E-2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202">
        <v>173378385.92303523</v>
      </c>
      <c r="D119" s="104">
        <f>IF(($C$123=0),0,(C119/$C$123))</f>
        <v>4.0088640449486568E-2</v>
      </c>
      <c r="F119" s="7" t="str">
        <f>INDEX(Language!$D$2:$X$300,SUM(Language!AF119),IF(Overview!$A$1="EN",6,15))</f>
        <v>12 - 36 months</v>
      </c>
      <c r="G119" s="202">
        <v>1070500000</v>
      </c>
      <c r="H119" s="104">
        <f>IF(($G$123=0),0,(G119/$G$123))</f>
        <v>0.33515661143056463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202">
        <v>196622710.45977417</v>
      </c>
      <c r="D120" s="104">
        <f>IF(($C$123=0),0,(C120/$C$123))</f>
        <v>4.5463205242459996E-2</v>
      </c>
      <c r="F120" s="7" t="str">
        <f>INDEX(Language!$D$2:$X$300,SUM(Language!AF120),IF(Overview!$A$1="EN",6,15))</f>
        <v>36 - 60 months</v>
      </c>
      <c r="G120" s="202">
        <v>627650000</v>
      </c>
      <c r="H120" s="104">
        <f>IF(($G$123=0),0,(G120/$G$123))</f>
        <v>0.19650728366594478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202">
        <v>769877753.12</v>
      </c>
      <c r="D121" s="104">
        <f>IF(($C$123=0),0,(C121/$C$123))</f>
        <v>0.17801153396702449</v>
      </c>
      <c r="F121" s="7" t="str">
        <f>INDEX(Language!$D$2:$X$300,SUM(Language!AF121),IF(Overview!$A$1="EN",6,15))</f>
        <v>60 - 120 months</v>
      </c>
      <c r="G121" s="202">
        <v>975000000</v>
      </c>
      <c r="H121" s="104">
        <f>IF(($G$123=0),0,(G121/$G$123))</f>
        <v>0.30525707253134093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202">
        <v>3126216749.1279764</v>
      </c>
      <c r="D122" s="104">
        <f>IF(($C$123=0),0,(C122/$C$123))</f>
        <v>0.72284546055578014</v>
      </c>
      <c r="F122" s="7" t="str">
        <f>INDEX(Language!$D$2:$X$300,SUM(Language!AF122),IF(Overview!$A$1="EN",6,15))</f>
        <v>≥ 120 months</v>
      </c>
      <c r="G122" s="202">
        <v>424038400.38</v>
      </c>
      <c r="H122" s="104">
        <f>IF(($G$123=0),0,(G122/$G$123))</f>
        <v>0.13275971358038099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4324875674.9807854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3194029189.6100001</v>
      </c>
      <c r="H123" s="172">
        <f>SUM(H118:H122)</f>
        <v>1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204">
        <v>2105772317.9829357</v>
      </c>
      <c r="F145" s="7" t="str">
        <f>INDEX(Language!$D$2:$X$300,SUM(Language!AF145),IF(Overview!$A$1="EN",6,15))</f>
        <v>Variable, fixed rate during the year</v>
      </c>
      <c r="G145" s="8"/>
      <c r="H145" s="204">
        <v>119490789.23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204">
        <v>76143383.760000005</v>
      </c>
      <c r="F146" s="7" t="str">
        <f>INDEX(Language!$D$2:$X$300,SUM(Language!AF146),IF(Overview!$A$1="EN",6,15))</f>
        <v>Fixed rate, 1 - 2 years</v>
      </c>
      <c r="G146" s="8"/>
      <c r="H146" s="204">
        <v>538000000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204">
        <v>121059162.56785004</v>
      </c>
      <c r="F147" s="7" t="str">
        <f>INDEX(Language!$D$2:$X$300,SUM(Language!AF147),IF(Overview!$A$1="EN",6,15))</f>
        <v>Fixed rate, 2 - 5 years</v>
      </c>
      <c r="G147" s="8"/>
      <c r="H147" s="204">
        <v>1157500000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204">
        <v>2021900810.6700001</v>
      </c>
      <c r="F148" s="7" t="str">
        <f>INDEX(Language!$D$2:$X$300,SUM(Language!AF148),IF(Overview!$A$1="EN",6,15))</f>
        <v>Fixed rate, &gt; 5 years</v>
      </c>
      <c r="G148" s="8"/>
      <c r="H148" s="204">
        <v>1379038400.3800001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5">
        <f>SUM(D145:D148)</f>
        <v>4324875674.9807854</v>
      </c>
      <c r="F149" s="12" t="str">
        <f>INDEX(Language!$D$2:$X$300,SUM(Language!AF149),IF(Overview!$A$1="EN",6,15))</f>
        <v>Total</v>
      </c>
      <c r="G149" s="23"/>
      <c r="H149" s="185">
        <f>SUM(H145:H148)</f>
        <v>3194029189.6100001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D9" sqref="D9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7" t="str">
        <f>INDEX([2]Language!$D$2:$X$300,SUM([2]Language!AB207),IF([2]Overview!$A$1="EN",3,11))</f>
        <v>Overview</v>
      </c>
      <c r="C4" s="188"/>
      <c r="D4" s="187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6">
        <v>88224160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6">
        <v>88224160</v>
      </c>
    </row>
    <row r="8" spans="1:5" x14ac:dyDescent="0.25">
      <c r="B8" s="189" t="str">
        <f>INDEX([2]Language!$D$2:$X$300,SUM([2]Language!AB211),IF([2]Overview!$A$1="EN",3,11))</f>
        <v>Total</v>
      </c>
      <c r="C8" s="189"/>
      <c r="D8" s="186">
        <f>SUM(D5:D6)</f>
        <v>88224160</v>
      </c>
    </row>
    <row r="9" spans="1:5" x14ac:dyDescent="0.25">
      <c r="B9" s="189" t="str">
        <f>INDEX([2]Language!$D$2:$X$300,SUM([2]Language!AB212),IF([2]Overview!$A$1="EN",3,11))</f>
        <v>Additional cover pool (in % of total issues)</v>
      </c>
      <c r="C9" s="189"/>
      <c r="D9" s="242">
        <f>D8/[3]Primärdeckung!$C$14</f>
        <v>2.0399236100675181E-2</v>
      </c>
      <c r="E9" s="80"/>
    </row>
    <row r="11" spans="1:5" x14ac:dyDescent="0.25">
      <c r="B11" s="187" t="str">
        <f>INDEX([2]Language!$D$2:$X$300,SUM([2]Language!AB214),IF([2]Overview!$A$1="EN",3,11))</f>
        <v>Bonds by volume</v>
      </c>
      <c r="C11" s="188" t="str">
        <f>INDEX([2]Language!$D$2:$X$300,SUM([2]Language!AC214),IF([2]Overview!$A$1="EN",4,12))</f>
        <v>volume</v>
      </c>
      <c r="D11" s="190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207"/>
      <c r="D12" s="208"/>
    </row>
    <row r="13" spans="1:5" x14ac:dyDescent="0.25">
      <c r="B13" s="38" t="str">
        <f>INDEX([2]Language!$D$2:$X$300,SUM([2]Language!AB216),IF([2]Overview!$A$1="EN",3,11))</f>
        <v>1.000.000 - 5.000.000</v>
      </c>
      <c r="C13" s="207">
        <v>7854800</v>
      </c>
      <c r="D13" s="208">
        <v>2</v>
      </c>
    </row>
    <row r="14" spans="1:5" x14ac:dyDescent="0.25">
      <c r="B14" s="38" t="str">
        <f>INDEX([2]Language!$D$2:$X$300,SUM([2]Language!AB217),IF([2]Overview!$A$1="EN",3,11))</f>
        <v>≥ 5.000.000</v>
      </c>
      <c r="C14" s="207">
        <v>80369360</v>
      </c>
      <c r="D14" s="208">
        <v>6</v>
      </c>
    </row>
    <row r="15" spans="1:5" x14ac:dyDescent="0.25">
      <c r="B15" s="189" t="str">
        <f>INDEX([2]Language!$D$2:$X$300,SUM([2]Language!AB218),IF([2]Overview!$A$1="EN",3,11))</f>
        <v>Total</v>
      </c>
      <c r="C15" s="191">
        <f>SUM(C12:C14)</f>
        <v>88224160</v>
      </c>
      <c r="D15" s="192">
        <f>SUM(D12:D14)</f>
        <v>8</v>
      </c>
    </row>
    <row r="17" spans="2:4" x14ac:dyDescent="0.25">
      <c r="B17" s="187" t="str">
        <f>INDEX([2]Language!$D$2:$X$300,SUM([2]Language!AB220),IF([2]Overview!$A$1="EN",3,11))</f>
        <v>Additional cover pool by currencies</v>
      </c>
      <c r="C17" s="188" t="str">
        <f>INDEX([2]Language!$D$2:$X$300,SUM([2]Language!AC220),IF([2]Overview!$A$1="EN",4,12))</f>
        <v>volume</v>
      </c>
      <c r="D17" s="190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7">
        <v>88224160</v>
      </c>
      <c r="D18" s="194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4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4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4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4">
        <f>IF(($C$23=0),0,(C22/$C$23))</f>
        <v>0</v>
      </c>
    </row>
    <row r="23" spans="2:4" x14ac:dyDescent="0.25">
      <c r="B23" s="189" t="str">
        <f>INDEX([2]Language!$D$2:$X$300,SUM([2]Language!AB226),IF([2]Overview!$A$1="EN",3,11))</f>
        <v>Total</v>
      </c>
      <c r="C23" s="191">
        <f>SUM(C18:C22)</f>
        <v>88224160</v>
      </c>
      <c r="D23" s="193">
        <f>SUM(D18:D22)</f>
        <v>1</v>
      </c>
    </row>
    <row r="25" spans="2:4" x14ac:dyDescent="0.25">
      <c r="B25" s="187" t="str">
        <f>INDEX([2]Language!$D$2:$X$300,SUM([2]Language!AB228),IF([2]Overview!$A$1="EN",3,11))</f>
        <v>Regional distribution of additional cover pool</v>
      </c>
      <c r="C25" s="188" t="str">
        <f>INDEX([2]Language!$D$2:$X$300,SUM([2]Language!AC228),IF([2]Overview!$A$1="EN",4,12))</f>
        <v>Volumen</v>
      </c>
      <c r="D25" s="190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5">
        <f>SUM(C27:C54)</f>
        <v>88224160</v>
      </c>
      <c r="D26" s="196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7">
        <v>65853360</v>
      </c>
      <c r="D27" s="197">
        <f>IF(($C$61=0),0,(C27/$C$61))</f>
        <v>0.74643226980001853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7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7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7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7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207">
        <v>12370800</v>
      </c>
      <c r="D32" s="197">
        <f t="shared" si="0"/>
        <v>0.1402200939062497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7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7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7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7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7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7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7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7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7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7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7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7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7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>
        <v>10000000</v>
      </c>
      <c r="D46" s="197">
        <f t="shared" si="0"/>
        <v>0.11334763629373179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7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7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198"/>
      <c r="D49" s="197">
        <f t="shared" si="0"/>
        <v>0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7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7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7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7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7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5">
        <f>SUM(C56:C58)</f>
        <v>0</v>
      </c>
      <c r="D55" s="196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6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6">
        <f>IF(($C$61=0),0,(C60/$C$61))</f>
        <v>0</v>
      </c>
    </row>
    <row r="61" spans="2:4" x14ac:dyDescent="0.25">
      <c r="B61" s="187" t="str">
        <f>INDEX([2]Language!$D$2:$X$300,SUM([2]Language!AB264),IF([2]Overview!$A$1="EN",3,11))</f>
        <v>Total</v>
      </c>
      <c r="C61" s="191">
        <f>C26+C55+C59+C60</f>
        <v>88224160</v>
      </c>
      <c r="D61" s="193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37" t="s">
        <v>169</v>
      </c>
      <c r="F2" s="237"/>
      <c r="G2" s="237"/>
      <c r="H2" s="84"/>
      <c r="I2" s="84" t="s">
        <v>0</v>
      </c>
      <c r="J2" s="210" t="s">
        <v>169</v>
      </c>
      <c r="K2" s="210"/>
      <c r="L2" s="210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23" t="s">
        <v>266</v>
      </c>
      <c r="K106" s="224"/>
      <c r="M106" s="2"/>
      <c r="N106" s="18"/>
      <c r="O106" s="19" t="s">
        <v>24</v>
      </c>
      <c r="P106" s="22"/>
      <c r="Q106" s="22"/>
      <c r="R106" s="19" t="s">
        <v>80</v>
      </c>
      <c r="S106" s="223" t="s">
        <v>117</v>
      </c>
      <c r="T106" s="224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33">
        <f>IF(($C$69=0),0,(F107/$C$69))</f>
        <v>0</v>
      </c>
      <c r="K107" s="234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33">
        <f>IF(($C$69=0),0,(O107/$C$69))</f>
        <v>0</v>
      </c>
      <c r="T107" s="234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33">
        <f t="shared" ref="J108:J114" si="5">IF(($C$69=0),0,(F108/$C$69))</f>
        <v>0</v>
      </c>
      <c r="K108" s="234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33">
        <f t="shared" ref="S108:S115" si="7">IF(($C$69=0),0,(O108/$C$69))</f>
        <v>0</v>
      </c>
      <c r="T108" s="234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33">
        <f t="shared" si="5"/>
        <v>0</v>
      </c>
      <c r="K109" s="234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33">
        <f t="shared" si="7"/>
        <v>0</v>
      </c>
      <c r="T109" s="234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33">
        <f t="shared" si="5"/>
        <v>0</v>
      </c>
      <c r="K110" s="234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33">
        <f t="shared" si="7"/>
        <v>0</v>
      </c>
      <c r="T110" s="234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33">
        <f t="shared" si="5"/>
        <v>0</v>
      </c>
      <c r="K111" s="234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33">
        <f t="shared" si="7"/>
        <v>0</v>
      </c>
      <c r="T111" s="234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33">
        <f t="shared" si="5"/>
        <v>0</v>
      </c>
      <c r="K112" s="234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33">
        <f t="shared" si="7"/>
        <v>0</v>
      </c>
      <c r="T112" s="234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33">
        <f t="shared" si="5"/>
        <v>0</v>
      </c>
      <c r="K113" s="234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33">
        <f t="shared" si="7"/>
        <v>0</v>
      </c>
      <c r="T113" s="234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33">
        <f t="shared" si="5"/>
        <v>0</v>
      </c>
      <c r="K114" s="234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33">
        <f t="shared" si="7"/>
        <v>0</v>
      </c>
      <c r="T114" s="234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33">
        <f>IF(($C$69=0),0,(F115/$C$69))</f>
        <v>0</v>
      </c>
      <c r="K115" s="234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33">
        <f t="shared" si="7"/>
        <v>0</v>
      </c>
      <c r="T115" s="234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33">
        <f>IF(($C$69=0),0,(F116/$C$69))</f>
        <v>0</v>
      </c>
      <c r="K116" s="234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33">
        <f>IF(($C$69=0),0,(O116/$C$69))</f>
        <v>0</v>
      </c>
      <c r="T116" s="234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7">
        <f>SUM(J107:K116)</f>
        <v>0</v>
      </c>
      <c r="K117" s="228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7">
        <f>SUM(S107:T116)</f>
        <v>0</v>
      </c>
      <c r="T117" s="228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25" t="s">
        <v>274</v>
      </c>
      <c r="F121" s="226"/>
      <c r="G121" s="119"/>
      <c r="H121" s="119"/>
      <c r="I121" s="119" t="s">
        <v>217</v>
      </c>
      <c r="J121" s="221" t="s">
        <v>41</v>
      </c>
      <c r="K121" s="222"/>
      <c r="M121" s="2"/>
      <c r="N121" s="225" t="s">
        <v>160</v>
      </c>
      <c r="O121" s="226"/>
      <c r="P121" s="127"/>
      <c r="Q121" s="127"/>
      <c r="R121" s="127" t="s">
        <v>24</v>
      </c>
      <c r="S121" s="221" t="s">
        <v>41</v>
      </c>
      <c r="T121" s="222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38" t="s">
        <v>275</v>
      </c>
      <c r="F122" s="239"/>
      <c r="G122" s="8"/>
      <c r="H122" s="8"/>
      <c r="I122" s="67">
        <v>20000000</v>
      </c>
      <c r="J122" s="233">
        <f>IF(($F$95=0),0,(I122/$F$95))</f>
        <v>1</v>
      </c>
      <c r="K122" s="234"/>
      <c r="M122" s="2"/>
      <c r="N122" s="231" t="s">
        <v>158</v>
      </c>
      <c r="O122" s="232"/>
      <c r="P122" s="8"/>
      <c r="Q122" s="8"/>
      <c r="R122" s="67">
        <v>9999999999</v>
      </c>
      <c r="S122" s="233">
        <f>IF(($F$95=0),0,(R122/$F$95))</f>
        <v>499.99999995000002</v>
      </c>
      <c r="T122" s="234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40" t="s">
        <v>276</v>
      </c>
      <c r="F123" s="241"/>
      <c r="G123" s="8"/>
      <c r="H123" s="8"/>
      <c r="I123" s="67">
        <v>20000000</v>
      </c>
      <c r="J123" s="233">
        <f>IF(($F$95=0),0,(I123/$F$95))</f>
        <v>1</v>
      </c>
      <c r="K123" s="234"/>
      <c r="M123" s="2"/>
      <c r="N123" s="231" t="s">
        <v>155</v>
      </c>
      <c r="O123" s="232"/>
      <c r="P123" s="8"/>
      <c r="Q123" s="8"/>
      <c r="R123" s="67">
        <v>0</v>
      </c>
      <c r="S123" s="233">
        <f t="shared" ref="S123:S128" si="8">IF(($F$95=0),0,(R123/$F$95))</f>
        <v>0</v>
      </c>
      <c r="T123" s="234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40" t="s">
        <v>277</v>
      </c>
      <c r="F124" s="241"/>
      <c r="G124" s="8"/>
      <c r="H124" s="8"/>
      <c r="I124" s="67">
        <v>20000000</v>
      </c>
      <c r="J124" s="233">
        <f t="shared" ref="J124:J128" si="9">IF(($F$95=0),0,(I124/$F$95))</f>
        <v>1</v>
      </c>
      <c r="K124" s="234"/>
      <c r="M124" s="2"/>
      <c r="N124" s="235" t="s">
        <v>154</v>
      </c>
      <c r="O124" s="236"/>
      <c r="P124" s="8"/>
      <c r="Q124" s="8"/>
      <c r="R124" s="67">
        <v>0</v>
      </c>
      <c r="S124" s="233">
        <f t="shared" si="8"/>
        <v>0</v>
      </c>
      <c r="T124" s="234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40" t="s">
        <v>278</v>
      </c>
      <c r="F125" s="241"/>
      <c r="G125" s="8"/>
      <c r="H125" s="8"/>
      <c r="I125" s="67">
        <v>20000000</v>
      </c>
      <c r="J125" s="233">
        <f t="shared" si="9"/>
        <v>1</v>
      </c>
      <c r="K125" s="234"/>
      <c r="M125" s="2"/>
      <c r="N125" s="231" t="s">
        <v>157</v>
      </c>
      <c r="O125" s="232"/>
      <c r="P125" s="8"/>
      <c r="Q125" s="8"/>
      <c r="R125" s="67">
        <v>9999999999</v>
      </c>
      <c r="S125" s="233">
        <f t="shared" si="8"/>
        <v>499.99999995000002</v>
      </c>
      <c r="T125" s="234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40" t="s">
        <v>279</v>
      </c>
      <c r="F126" s="241"/>
      <c r="G126" s="8"/>
      <c r="H126" s="8"/>
      <c r="I126" s="67">
        <v>20000000</v>
      </c>
      <c r="J126" s="233">
        <f t="shared" si="9"/>
        <v>1</v>
      </c>
      <c r="K126" s="234"/>
      <c r="M126" s="2"/>
      <c r="N126" s="231" t="s">
        <v>156</v>
      </c>
      <c r="O126" s="232"/>
      <c r="P126" s="8"/>
      <c r="Q126" s="8"/>
      <c r="R126" s="67">
        <v>559101638.75</v>
      </c>
      <c r="S126" s="233">
        <f t="shared" si="8"/>
        <v>27.955081937500001</v>
      </c>
      <c r="T126" s="234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40" t="s">
        <v>280</v>
      </c>
      <c r="F127" s="241"/>
      <c r="G127" s="8"/>
      <c r="H127" s="8"/>
      <c r="I127" s="67">
        <v>20000000</v>
      </c>
      <c r="J127" s="233">
        <f t="shared" si="9"/>
        <v>1</v>
      </c>
      <c r="K127" s="234"/>
      <c r="M127" s="2"/>
      <c r="N127" s="231" t="s">
        <v>159</v>
      </c>
      <c r="O127" s="232"/>
      <c r="P127" s="8"/>
      <c r="Q127" s="8"/>
      <c r="R127" s="67">
        <v>442366849.20999998</v>
      </c>
      <c r="S127" s="233">
        <f t="shared" si="8"/>
        <v>22.118342460499999</v>
      </c>
      <c r="T127" s="234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40" t="s">
        <v>281</v>
      </c>
      <c r="F128" s="241"/>
      <c r="G128" s="8"/>
      <c r="H128" s="8"/>
      <c r="I128" s="67">
        <v>20000000</v>
      </c>
      <c r="J128" s="233">
        <f t="shared" si="9"/>
        <v>1</v>
      </c>
      <c r="K128" s="234"/>
      <c r="M128" s="2"/>
      <c r="N128" s="231" t="s">
        <v>168</v>
      </c>
      <c r="O128" s="232"/>
      <c r="P128" s="8"/>
      <c r="Q128" s="8"/>
      <c r="R128" s="67">
        <v>2333333</v>
      </c>
      <c r="S128" s="233">
        <f t="shared" si="8"/>
        <v>0.11666665</v>
      </c>
      <c r="T128" s="234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25" t="s">
        <v>224</v>
      </c>
      <c r="F129" s="226"/>
      <c r="G129" s="23"/>
      <c r="H129" s="23"/>
      <c r="I129" s="72">
        <f>SUM(I122:I128)</f>
        <v>140000000</v>
      </c>
      <c r="J129" s="227">
        <f>SUM(J122:K128)</f>
        <v>7</v>
      </c>
      <c r="K129" s="228"/>
      <c r="M129" s="2"/>
      <c r="N129" s="225" t="s">
        <v>30</v>
      </c>
      <c r="O129" s="226"/>
      <c r="P129" s="23"/>
      <c r="Q129" s="23"/>
      <c r="R129" s="72">
        <f>SUM(R122:R128)</f>
        <v>21003801818.959999</v>
      </c>
      <c r="S129" s="227">
        <f>SUM(S122:T128)</f>
        <v>1050.190090948</v>
      </c>
      <c r="T129" s="228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29">
        <v>5</v>
      </c>
      <c r="K133" s="230"/>
      <c r="M133" s="2"/>
      <c r="N133" s="32" t="s">
        <v>177</v>
      </c>
      <c r="O133" s="33"/>
      <c r="P133" s="33"/>
      <c r="Q133" s="33"/>
      <c r="R133" s="33"/>
      <c r="S133" s="229">
        <v>5</v>
      </c>
      <c r="T133" s="230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35" t="s">
        <v>290</v>
      </c>
      <c r="F146" s="232"/>
      <c r="G146" s="232"/>
      <c r="H146" s="232"/>
      <c r="I146" s="232"/>
      <c r="J146" s="232"/>
      <c r="K146" s="133">
        <v>5</v>
      </c>
      <c r="M146" s="2"/>
      <c r="N146" s="213" t="s">
        <v>172</v>
      </c>
      <c r="O146" s="212"/>
      <c r="P146" s="212"/>
      <c r="Q146" s="212"/>
      <c r="R146" s="212"/>
      <c r="S146" s="212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35" t="s">
        <v>291</v>
      </c>
      <c r="F147" s="232"/>
      <c r="G147" s="232"/>
      <c r="H147" s="232"/>
      <c r="I147" s="232"/>
      <c r="J147" s="232"/>
      <c r="K147" s="133">
        <v>5</v>
      </c>
      <c r="M147" s="2"/>
      <c r="N147" s="211" t="s">
        <v>173</v>
      </c>
      <c r="O147" s="212"/>
      <c r="P147" s="212"/>
      <c r="Q147" s="212"/>
      <c r="R147" s="212"/>
      <c r="S147" s="212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35" t="s">
        <v>292</v>
      </c>
      <c r="F148" s="232"/>
      <c r="G148" s="232"/>
      <c r="H148" s="232"/>
      <c r="I148" s="232"/>
      <c r="J148" s="232"/>
      <c r="K148" s="133">
        <v>5</v>
      </c>
      <c r="M148" s="2"/>
      <c r="N148" s="213" t="s">
        <v>146</v>
      </c>
      <c r="O148" s="214"/>
      <c r="P148" s="214"/>
      <c r="Q148" s="214"/>
      <c r="R148" s="214"/>
      <c r="S148" s="214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  <vt:lpstr>x</vt:lpstr>
      <vt:lpstr>xx</vt:lpstr>
      <vt:lpstr>xxx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2021-04-26T06:40:44Z</dcterms:modified>
</cp:coreProperties>
</file>