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21-03\"/>
    </mc:Choice>
  </mc:AlternateContent>
  <xr:revisionPtr revIDLastSave="0" documentId="8_{656E5D9E-39B0-41D5-8B52-9D992E6D9DC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  <externalReference r:id="rId6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0">Overview!$A$1:$E$35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2" i="2" l="1"/>
  <c r="F118" i="2"/>
  <c r="G112" i="2"/>
  <c r="G111" i="2"/>
  <c r="G110" i="2"/>
  <c r="G109" i="2"/>
  <c r="G108" i="2"/>
  <c r="G107" i="2"/>
  <c r="G106" i="2"/>
  <c r="G105" i="2"/>
  <c r="G104" i="2"/>
  <c r="G103" i="2"/>
  <c r="D9" i="2"/>
  <c r="C9" i="2"/>
  <c r="D6" i="2"/>
  <c r="C6" i="2"/>
  <c r="C26" i="3" l="1"/>
  <c r="D8" i="3" l="1"/>
  <c r="D9" i="3" s="1"/>
  <c r="C17" i="3" l="1"/>
  <c r="C25" i="3"/>
  <c r="C14" i="2" l="1"/>
  <c r="B40" i="3" l="1"/>
  <c r="H200" i="2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H174" i="2" l="1"/>
  <c r="H170" i="2"/>
  <c r="H173" i="2"/>
  <c r="H171" i="2"/>
  <c r="H172" i="2"/>
  <c r="D174" i="2"/>
  <c r="D171" i="2"/>
  <c r="D173" i="2"/>
  <c r="D170" i="2"/>
  <c r="D172" i="2"/>
  <c r="H149" i="2"/>
  <c r="H146" i="2"/>
  <c r="H148" i="2"/>
  <c r="H145" i="2"/>
  <c r="H147" i="2"/>
  <c r="D149" i="2"/>
  <c r="D145" i="2"/>
  <c r="D148" i="2"/>
  <c r="D146" i="2"/>
  <c r="D147" i="2"/>
  <c r="D141" i="2"/>
  <c r="D137" i="2"/>
  <c r="D140" i="2"/>
  <c r="D138" i="2"/>
  <c r="D139" i="2"/>
  <c r="F112" i="2"/>
  <c r="F104" i="2"/>
  <c r="F107" i="2"/>
  <c r="F110" i="2"/>
  <c r="F108" i="2"/>
  <c r="F106" i="2"/>
  <c r="F111" i="2"/>
  <c r="F103" i="2"/>
  <c r="F105" i="2"/>
  <c r="F109" i="2"/>
  <c r="H57" i="2"/>
  <c r="H54" i="2"/>
  <c r="H52" i="2"/>
  <c r="H50" i="2"/>
  <c r="H56" i="2"/>
  <c r="H53" i="2"/>
  <c r="H51" i="2"/>
  <c r="H49" i="2"/>
  <c r="H55" i="2"/>
  <c r="H47" i="2"/>
  <c r="H48" i="2"/>
  <c r="D57" i="2"/>
  <c r="D55" i="2"/>
  <c r="D54" i="2"/>
  <c r="D53" i="2"/>
  <c r="D52" i="2"/>
  <c r="D50" i="2"/>
  <c r="D48" i="2"/>
  <c r="D47" i="2"/>
  <c r="D56" i="2"/>
  <c r="D49" i="2"/>
  <c r="D51" i="2"/>
  <c r="D42" i="2"/>
  <c r="D39" i="2"/>
  <c r="D38" i="2"/>
  <c r="D35" i="2"/>
  <c r="D34" i="2"/>
  <c r="D41" i="2"/>
  <c r="D40" i="2"/>
  <c r="D37" i="2"/>
  <c r="D36" i="2"/>
  <c r="D33" i="2"/>
  <c r="D43" i="2"/>
  <c r="F130" i="2"/>
  <c r="C99" i="2"/>
  <c r="D14" i="2"/>
  <c r="C55" i="3"/>
  <c r="C61" i="3" s="1"/>
  <c r="C23" i="3"/>
  <c r="C15" i="3"/>
  <c r="D15" i="3"/>
  <c r="G129" i="2" l="1"/>
  <c r="G126" i="2"/>
  <c r="G124" i="2"/>
  <c r="G128" i="2"/>
  <c r="G125" i="2"/>
  <c r="G123" i="2"/>
  <c r="G122" i="2" s="1"/>
  <c r="G127" i="2"/>
  <c r="G121" i="2"/>
  <c r="G119" i="2"/>
  <c r="G118" i="2" s="1"/>
  <c r="G120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D64" i="2" l="1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7" i="1"/>
  <c r="B36" i="1"/>
  <c r="B34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D23" i="3" l="1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J167" i="5"/>
  <c r="S167" i="5"/>
  <c r="D55" i="3" l="1"/>
  <c r="C21" i="1"/>
  <c r="C20" i="1"/>
  <c r="C13" i="1"/>
  <c r="C12" i="1"/>
  <c r="D61" i="3" l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<sst xmlns="http://schemas.openxmlformats.org/spreadsheetml/2006/main" count="789" uniqueCount="372">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</sst>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164" fontId="4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29" borderId="11" xfId="0" applyNumberFormat="1" applyFont="1" applyFill="1" applyBorder="1" applyAlignment="1">
      <alignment horizontal="center"/>
    </xf>
    <xf numFmtId="164" fontId="1" fillId="0" borderId="11" xfId="2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/>
    <xf numFmtId="164" fontId="2" fillId="0" borderId="11" xfId="0" applyNumberFormat="1" applyFont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37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262835590.84019297</c:v>
                </c:pt>
                <c:pt idx="1">
                  <c:v>524056602.71651298</c:v>
                </c:pt>
                <c:pt idx="2">
                  <c:v>159467867.42686537</c:v>
                </c:pt>
                <c:pt idx="3">
                  <c:v>252426075.56890696</c:v>
                </c:pt>
                <c:pt idx="4">
                  <c:v>556309081.79999995</c:v>
                </c:pt>
                <c:pt idx="5">
                  <c:v>793527591.57000005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533438821.42412806</c:v>
                </c:pt>
                <c:pt idx="1">
                  <c:v>328276539.32815707</c:v>
                </c:pt>
                <c:pt idx="2">
                  <c:v>552657662.18436301</c:v>
                </c:pt>
                <c:pt idx="3">
                  <c:v>619225675.2938211</c:v>
                </c:pt>
                <c:pt idx="4">
                  <c:v>234521099.78785899</c:v>
                </c:pt>
                <c:pt idx="5">
                  <c:v>89720975.641011715</c:v>
                </c:pt>
                <c:pt idx="6">
                  <c:v>56338358.864480563</c:v>
                </c:pt>
                <c:pt idx="7">
                  <c:v>31893290.007868111</c:v>
                </c:pt>
                <c:pt idx="8">
                  <c:v>48309434.921246603</c:v>
                </c:pt>
                <c:pt idx="9">
                  <c:v>26047954.04954832</c:v>
                </c:pt>
                <c:pt idx="10">
                  <c:v>28192998.41999457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492321594.93000001</c:v>
                </c:pt>
                <c:pt idx="1">
                  <c:v>980172879</c:v>
                </c:pt>
                <c:pt idx="2">
                  <c:v>324928787.5</c:v>
                </c:pt>
                <c:pt idx="3">
                  <c:v>384222818.50727195</c:v>
                </c:pt>
                <c:pt idx="4">
                  <c:v>366976729.98520625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161530413.44418243</c:v>
                </c:pt>
                <c:pt idx="1">
                  <c:v>133678639.26766936</c:v>
                </c:pt>
                <c:pt idx="2">
                  <c:v>258764871.64859441</c:v>
                </c:pt>
                <c:pt idx="3">
                  <c:v>358205818.48984623</c:v>
                </c:pt>
                <c:pt idx="4">
                  <c:v>1636443067.072186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543000000</c:v>
                </c:pt>
                <c:pt idx="1">
                  <c:v>30000000</c:v>
                </c:pt>
                <c:pt idx="2">
                  <c:v>510000000</c:v>
                </c:pt>
                <c:pt idx="3">
                  <c:v>512086000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0.72144087382628519</c:v>
                </c:pt>
                <c:pt idx="1">
                  <c:v>0.38677667217511497</c:v>
                </c:pt>
                <c:pt idx="2">
                  <c:v>0.28997894194795171</c:v>
                </c:pt>
                <c:pt idx="3">
                  <c:v>4.4685259703218565E-2</c:v>
                </c:pt>
                <c:pt idx="4">
                  <c:v>0.27855912617371481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Liquidit&#228;tsmanagement/Funding/Deckungsst&#246;cke/Reporting%20f&#252;r%20Pfandbrief-Forum%20und%20Treuh&#228;nder/2020/2020-12/Pfandbriefforumsreport%20Pfandbrief%20Hypothekenpfandbrief%202020-12-31_D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</sheetNames>
    <sheetDataSet>
      <sheetData sheetId="0"/>
      <sheetData sheetId="1">
        <row r="14">
          <cell r="C14">
            <v>2441371927.8615861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topLeftCell="A4" zoomScaleNormal="100" workbookViewId="0">
      <selection activeCell="B12" sqref="B12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6" customFormat="1" ht="36" customHeight="1" thickBot="1" x14ac:dyDescent="0.3">
      <c r="A1" s="185" t="s">
        <v>189</v>
      </c>
      <c r="B1" s="185" t="s">
        <v>0</v>
      </c>
      <c r="C1" s="222" t="s">
        <v>369</v>
      </c>
      <c r="D1" s="222"/>
      <c r="E1" s="222"/>
    </row>
    <row r="2" spans="1:5" x14ac:dyDescent="0.25">
      <c r="B2" s="1" t="str">
        <f>INDEX(Language!D2:M33,2,IF(A1="EN",1,6))</f>
        <v>Report Date</v>
      </c>
      <c r="D2" s="81">
        <v>44286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7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8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201">
        <v>1.3481751013595059E-2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14">
        <v>1625086000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14">
        <v>2476755427.8615861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9" t="s">
        <v>7</v>
      </c>
      <c r="D14" s="189" t="s">
        <v>8</v>
      </c>
      <c r="E14" s="189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9" t="s">
        <v>120</v>
      </c>
      <c r="D15" s="189" t="s">
        <v>120</v>
      </c>
      <c r="E15" s="189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9" t="s">
        <v>367</v>
      </c>
      <c r="D16" s="189" t="s">
        <v>120</v>
      </c>
      <c r="E16" s="189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202">
        <v>10655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202">
        <v>8381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202">
        <v>9516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15">
        <v>308288.84499731276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15">
        <v>242493.55325410402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201">
        <v>2.8108335160723611E-3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201">
        <v>0.10953959502877231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201">
        <v>0.13064105711587623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201">
        <v>1.1110166099211614E-2</v>
      </c>
      <c r="E25" s="136"/>
    </row>
    <row r="26" spans="2:5" ht="16.5" customHeight="1" x14ac:dyDescent="0.25">
      <c r="B26" s="190" t="str">
        <f>INDEX(Language!D2:M33,26,IF(A1="EN",1,6))</f>
        <v>Share of issues in foreign currency (% of primary cover pool)</v>
      </c>
      <c r="C26" s="36"/>
      <c r="D26" s="201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201">
        <v>0.39669230020379215</v>
      </c>
      <c r="E27" s="136"/>
    </row>
    <row r="28" spans="2:5" ht="16.5" customHeight="1" x14ac:dyDescent="0.25">
      <c r="B28" s="136" t="s">
        <v>371</v>
      </c>
      <c r="C28" s="36"/>
      <c r="D28" s="201">
        <v>0</v>
      </c>
      <c r="E28" s="136"/>
    </row>
    <row r="29" spans="2:5" ht="16.5" customHeight="1" x14ac:dyDescent="0.25">
      <c r="B29" s="136" t="str">
        <f>INDEX(Language!D2:M33,28,IF(A1="EN",1,6))</f>
        <v>Nominal over-collateralisation (total cover pool / outstanding issues in %)</v>
      </c>
      <c r="C29" s="36"/>
      <c r="D29" s="201">
        <v>0.58992743148515103</v>
      </c>
      <c r="E29" s="136"/>
    </row>
    <row r="30" spans="2:5" ht="16.5" customHeight="1" x14ac:dyDescent="0.25">
      <c r="B30" s="136" t="str">
        <f>INDEX(Language!D2:M33,29,IF(A1="EN",1,6))</f>
        <v>Present value over-collateralisation (PV total cover pool / PV outstanding issues in %)</v>
      </c>
      <c r="C30" s="36"/>
      <c r="D30" s="201">
        <v>0.74900195263295866</v>
      </c>
      <c r="E30" s="136"/>
    </row>
    <row r="31" spans="2:5" ht="16.5" customHeight="1" x14ac:dyDescent="0.25">
      <c r="B31" s="136" t="str">
        <f>INDEX(Language!D2:M33,30,IF(A1="EN",1,6))</f>
        <v>Number of issues</v>
      </c>
      <c r="C31" s="36"/>
      <c r="D31" s="202">
        <v>15</v>
      </c>
      <c r="E31" s="136"/>
    </row>
    <row r="32" spans="2:5" ht="16.5" customHeight="1" x14ac:dyDescent="0.25">
      <c r="B32" s="136" t="str">
        <f>INDEX(Language!D2:M33,31,IF(A1="EN",1,6))</f>
        <v>Average issue size</v>
      </c>
      <c r="C32" s="36"/>
      <c r="D32" s="203">
        <v>108339066.66666667</v>
      </c>
      <c r="E32" s="136"/>
    </row>
    <row r="33" spans="2:5" ht="16.5" customHeight="1" x14ac:dyDescent="0.25">
      <c r="B33" s="136" t="str">
        <f>INDEX(Language!D2:M33,32,IF(A1="EN",1,6))</f>
        <v>WA LTV according to rating agency definition (%) *</v>
      </c>
      <c r="C33" s="36"/>
      <c r="D33" s="201">
        <v>0.57001864499999999</v>
      </c>
      <c r="E33" s="136"/>
    </row>
    <row r="34" spans="2:5" x14ac:dyDescent="0.25">
      <c r="B34" s="136" t="str">
        <f>INDEX(Language!D3:M34,32,IF(A1="EN",1,6))</f>
        <v>WA LTV according to Austrian definition (%) **</v>
      </c>
      <c r="C34" s="36"/>
      <c r="D34" s="201">
        <v>0.48564852200000003</v>
      </c>
      <c r="E34" s="136"/>
    </row>
    <row r="35" spans="2:5" x14ac:dyDescent="0.25">
      <c r="B35" s="191"/>
      <c r="C35" s="192"/>
      <c r="D35" s="193"/>
    </row>
    <row r="36" spans="2:5" ht="32.25" customHeight="1" x14ac:dyDescent="0.25">
      <c r="B36" s="223" t="str">
        <f>INDEX(Language!D5:M36,32,IF($A$1="EN",1,6))</f>
        <v>*LTV definition rating agencies: (total loans outstanding per borrower + total prior-ranking mortgages)/ total of property values</v>
      </c>
      <c r="C36" s="223"/>
      <c r="D36" s="223"/>
      <c r="E36" s="223"/>
    </row>
    <row r="37" spans="2:5" ht="21.75" customHeight="1" x14ac:dyDescent="0.25">
      <c r="B37" s="223" t="str">
        <f>INDEX(Language!D6:M37,32,IF($A$1="EN",1,6))</f>
        <v>**LTV Austrian calculation: loan amount in cover pool/ total of property values minus prior-ranking mortgages</v>
      </c>
      <c r="C37" s="223"/>
      <c r="D37" s="223"/>
      <c r="E37" s="223"/>
    </row>
    <row r="38" spans="2:5" x14ac:dyDescent="0.25">
      <c r="B38" s="156"/>
      <c r="C38" s="157"/>
      <c r="D38" s="158"/>
      <c r="E38" s="156"/>
    </row>
    <row r="39" spans="2:5" x14ac:dyDescent="0.25">
      <c r="B39" s="156"/>
      <c r="C39" s="156"/>
      <c r="D39" s="156"/>
      <c r="E39" s="156"/>
    </row>
    <row r="40" spans="2:5" x14ac:dyDescent="0.25">
      <c r="B40" s="156"/>
      <c r="C40" s="156"/>
      <c r="D40" s="156"/>
      <c r="E40" s="156"/>
    </row>
  </sheetData>
  <mergeCells count="3">
    <mergeCell ref="C1:E1"/>
    <mergeCell ref="B36:E36"/>
    <mergeCell ref="B37:E37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topLeftCell="A178" zoomScaleNormal="100" zoomScalePageLayoutView="85" workbookViewId="0">
      <selection activeCell="H198" sqref="H198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21">
        <f>SUM(C7:C8)</f>
        <v>786892193.55670595</v>
      </c>
      <c r="D6" s="204">
        <f>SUM(D7:D8)</f>
        <v>9519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21">
        <v>262835590.84019297</v>
      </c>
      <c r="D7" s="204">
        <v>6346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21">
        <v>524056602.71651298</v>
      </c>
      <c r="D8" s="204">
        <v>3173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21">
        <f>SUM(C10:C12)</f>
        <v>968203024.79577231</v>
      </c>
      <c r="D9" s="204">
        <f>SUM(D10:D12)</f>
        <v>1070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21">
        <v>159467867.42686537</v>
      </c>
      <c r="D10" s="204">
        <v>423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21">
        <v>252426075.56890696</v>
      </c>
      <c r="D11" s="204">
        <v>362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21">
        <v>556309081.79999995</v>
      </c>
      <c r="D12" s="204">
        <v>285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21">
        <v>793527591.57000005</v>
      </c>
      <c r="D13" s="204">
        <v>63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69">
        <f>C6+C9+C13</f>
        <v>2548622809.9224782</v>
      </c>
      <c r="D14" s="172">
        <f>D6+D9+D13</f>
        <v>10652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3"/>
      <c r="D18" s="174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5" t="str">
        <f>INDEX(Language!$D$2:$X$300,SUM(Language!AB25),IF(Overview!$A$1="EN",2,11))</f>
        <v>Primary cover pool</v>
      </c>
      <c r="C22" s="173"/>
      <c r="D22" s="167" t="str">
        <f>INDEX(Language!$D$2:$X$300,SUM(Language!AD25),IF(Overview!$A$1="EN",4,13))</f>
        <v>volume</v>
      </c>
      <c r="E22" s="16"/>
      <c r="F22" s="175" t="str">
        <f>INDEX(Language!$D$2:$X$300,SUM(Language!AF25),IF(Overview!$A$1="EN",6,15))</f>
        <v>Issues</v>
      </c>
      <c r="G22" s="173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205">
        <v>2520307187.1799998</v>
      </c>
      <c r="F23" s="7" t="str">
        <f>INDEX(Language!$D$2:$X$300,SUM(Language!AF26),IF(Overview!$A$1="EN",6,15))</f>
        <v>in EUR</v>
      </c>
      <c r="G23" s="8"/>
      <c r="H23" s="205">
        <v>1625086000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205">
        <v>27708146.458897222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205">
        <v>135600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205">
        <v>471876.28358093998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205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6" t="str">
        <f>INDEX(Language!$D$2:$X$300,SUM(Language!AB31),IF(Overview!$A$1="EN",2,11))</f>
        <v>Total</v>
      </c>
      <c r="C28" s="141"/>
      <c r="D28" s="194">
        <f>SUM(D23:D27)</f>
        <v>2548622809.9224777</v>
      </c>
      <c r="E28" s="16"/>
      <c r="F28" s="176" t="str">
        <f>INDEX(Language!$D$2:$X$300,SUM(Language!AF31),IF(Overview!$A$1="EN",6,15))</f>
        <v>Total</v>
      </c>
      <c r="G28" s="141"/>
      <c r="H28" s="194">
        <f>SUM(H23:H27)</f>
        <v>1625086000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3" t="str">
        <f>INDEX(Language!$D$2:$X$300,SUM(Language!AC35),IF(Overview!$A$1="EN",3,12))</f>
        <v>volume</v>
      </c>
      <c r="D32" s="174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206">
        <v>533438821.42412806</v>
      </c>
      <c r="D33" s="220">
        <f>IF(($C$44=0),0,(C33/$C$44))</f>
        <v>0.20930473483455711</v>
      </c>
    </row>
    <row r="34" spans="2:10" x14ac:dyDescent="0.2">
      <c r="B34" s="7" t="str">
        <f>INDEX(Language!$D$2:$X$300,SUM(Language!AB37),IF(Overview!$A$1="EN",2,11))</f>
        <v>40 - 50%</v>
      </c>
      <c r="C34" s="206">
        <v>328276539.32815707</v>
      </c>
      <c r="D34" s="220">
        <f t="shared" ref="D34:D43" si="0">IF(($C$44=0),0,(C34/$C$44))</f>
        <v>0.12880546232658976</v>
      </c>
    </row>
    <row r="35" spans="2:10" x14ac:dyDescent="0.2">
      <c r="B35" s="7" t="str">
        <f>INDEX(Language!$D$2:$X$300,SUM(Language!AB38),IF(Overview!$A$1="EN",2,11))</f>
        <v>50 - 60%</v>
      </c>
      <c r="C35" s="206">
        <v>552657662.18436301</v>
      </c>
      <c r="D35" s="220">
        <f t="shared" si="0"/>
        <v>0.21684560776616976</v>
      </c>
    </row>
    <row r="36" spans="2:10" x14ac:dyDescent="0.2">
      <c r="B36" s="7" t="str">
        <f>INDEX(Language!$D$2:$X$300,SUM(Language!AB39),IF(Overview!$A$1="EN",2,11))</f>
        <v>60 - 70%</v>
      </c>
      <c r="C36" s="206">
        <v>619225675.2938211</v>
      </c>
      <c r="D36" s="220">
        <f t="shared" si="0"/>
        <v>0.24296481726641075</v>
      </c>
    </row>
    <row r="37" spans="2:10" x14ac:dyDescent="0.2">
      <c r="B37" s="7" t="str">
        <f>INDEX(Language!$D$2:$X$300,SUM(Language!AB40),IF(Overview!$A$1="EN",2,11))</f>
        <v>70 - 80%</v>
      </c>
      <c r="C37" s="206">
        <v>234521099.78785899</v>
      </c>
      <c r="D37" s="220">
        <f t="shared" si="0"/>
        <v>9.201875572752663E-2</v>
      </c>
    </row>
    <row r="38" spans="2:10" x14ac:dyDescent="0.2">
      <c r="B38" s="7" t="str">
        <f>INDEX(Language!$D$2:$X$300,SUM(Language!AB41),IF(Overview!$A$1="EN",2,11))</f>
        <v>80 - 85%</v>
      </c>
      <c r="C38" s="206">
        <v>89720975.641011715</v>
      </c>
      <c r="D38" s="220">
        <f t="shared" si="0"/>
        <v>3.5203708956736829E-2</v>
      </c>
    </row>
    <row r="39" spans="2:10" x14ac:dyDescent="0.2">
      <c r="B39" s="7" t="str">
        <f>INDEX(Language!$D$2:$X$300,SUM(Language!AB42),IF(Overview!$A$1="EN",2,11))</f>
        <v>85 - 90%</v>
      </c>
      <c r="C39" s="206">
        <v>56338358.864480563</v>
      </c>
      <c r="D39" s="220">
        <f t="shared" si="0"/>
        <v>2.2105412635067104E-2</v>
      </c>
    </row>
    <row r="40" spans="2:10" x14ac:dyDescent="0.2">
      <c r="B40" s="7" t="str">
        <f>INDEX(Language!$D$2:$X$300,SUM(Language!AB43),IF(Overview!$A$1="EN",2,11))</f>
        <v>90 - 95%</v>
      </c>
      <c r="C40" s="206">
        <v>31893290.007868111</v>
      </c>
      <c r="D40" s="220">
        <f t="shared" si="0"/>
        <v>1.2513931007640249E-2</v>
      </c>
    </row>
    <row r="41" spans="2:10" x14ac:dyDescent="0.2">
      <c r="B41" s="7" t="str">
        <f>INDEX(Language!$D$2:$X$300,SUM(Language!AB44),IF(Overview!$A$1="EN",2,11))</f>
        <v>95 - 100%</v>
      </c>
      <c r="C41" s="206">
        <v>48309434.921246603</v>
      </c>
      <c r="D41" s="220">
        <f t="shared" si="0"/>
        <v>1.8955113613974148E-2</v>
      </c>
    </row>
    <row r="42" spans="2:10" x14ac:dyDescent="0.2">
      <c r="B42" s="7" t="str">
        <f>INDEX(Language!$D$2:$X$300,SUM(Language!AB45),IF(Overview!$A$1="EN",2,11))</f>
        <v>100 - 105%</v>
      </c>
      <c r="C42" s="206">
        <v>26047954.04954832</v>
      </c>
      <c r="D42" s="220">
        <f t="shared" si="0"/>
        <v>1.0220403720839582E-2</v>
      </c>
    </row>
    <row r="43" spans="2:10" x14ac:dyDescent="0.2">
      <c r="B43" s="7" t="str">
        <f>INDEX(Language!$D$2:$X$300,SUM(Language!AB46),IF(Overview!$A$1="EN",2,11))</f>
        <v>≥ 105%</v>
      </c>
      <c r="C43" s="206">
        <v>28192998.41999457</v>
      </c>
      <c r="D43" s="220">
        <f t="shared" si="0"/>
        <v>1.1062052144488233E-2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2548622809.9224777</v>
      </c>
      <c r="D44" s="164">
        <f>SUM(D33:D43)</f>
        <v>1.0000000000000002</v>
      </c>
      <c r="E44" s="16"/>
      <c r="G44" s="16"/>
      <c r="H44" s="16"/>
      <c r="I44" s="16"/>
      <c r="J44" s="2"/>
    </row>
    <row r="46" spans="2:10" s="15" customFormat="1" x14ac:dyDescent="0.2">
      <c r="B46" s="175" t="str">
        <f>INDEX(Language!$D$2:$X$300,SUM(Language!AB49),IF(Overview!$A$1="EN",2,11))</f>
        <v>thereof LTV residential*</v>
      </c>
      <c r="C46" s="173" t="str">
        <f>INDEX(Language!$D$2:$X$300,SUM(Language!AC49),IF(Overview!$A$1="EN",3,12))</f>
        <v>volume</v>
      </c>
      <c r="D46" s="174" t="str">
        <f>INDEX(Language!$D$2:$X$300,SUM(Language!AD49),IF(Overview!$A$1="EN",4,13))</f>
        <v>%</v>
      </c>
      <c r="E46" s="16"/>
      <c r="F46" s="175" t="str">
        <f>INDEX(Language!$D$2:$X$300,SUM(Language!AF49),IF(Overview!$A$1="EN",6,15))</f>
        <v>thereof LTV commercial</v>
      </c>
      <c r="G46" s="173" t="str">
        <f>INDEX(Language!$D$2:$X$300,SUM(Language!AG49),IF(Overview!$A$1="EN",7,16))</f>
        <v>volume</v>
      </c>
      <c r="H46" s="174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206">
        <v>420304884.70771766</v>
      </c>
      <c r="D47" s="220">
        <f>IF(($C$58=0),0,(C47/$C$58))</f>
        <v>0.22859047372451788</v>
      </c>
      <c r="F47" s="7" t="str">
        <f>INDEX(Language!$D$2:$X$300,SUM(Language!AF50),IF(Overview!$A$1="EN",6,15))</f>
        <v>≤ 40%</v>
      </c>
      <c r="G47" s="206">
        <v>113133936.71641041</v>
      </c>
      <c r="H47" s="220">
        <f>IF(($G$58=0),0,(G47/$G$58))</f>
        <v>0.15935655863126821</v>
      </c>
    </row>
    <row r="48" spans="2:10" x14ac:dyDescent="0.2">
      <c r="B48" s="7" t="str">
        <f>INDEX(Language!$D$2:$X$300,SUM(Language!AB51),IF(Overview!$A$1="EN",2,11))</f>
        <v>40 - 50 %</v>
      </c>
      <c r="C48" s="206">
        <v>242223515.03515309</v>
      </c>
      <c r="D48" s="220">
        <f t="shared" ref="D48:D57" si="1">IF(($C$58=0),0,(C48/$C$58))</f>
        <v>0.13173767439702283</v>
      </c>
      <c r="F48" s="7" t="str">
        <f>INDEX(Language!$D$2:$X$300,SUM(Language!AF51),IF(Overview!$A$1="EN",6,15))</f>
        <v>40 - 50 %</v>
      </c>
      <c r="G48" s="206">
        <v>86053024.293004021</v>
      </c>
      <c r="H48" s="220">
        <f t="shared" ref="H48:H56" si="2">IF(($G$58=0),0,(G48/$G$58))</f>
        <v>0.12121132004378413</v>
      </c>
    </row>
    <row r="49" spans="1:10" x14ac:dyDescent="0.2">
      <c r="B49" s="7" t="str">
        <f>INDEX(Language!$D$2:$X$300,SUM(Language!AB52),IF(Overview!$A$1="EN",2,11))</f>
        <v>50 - 60 %</v>
      </c>
      <c r="C49" s="206">
        <v>341618256.37585574</v>
      </c>
      <c r="D49" s="220">
        <f t="shared" si="1"/>
        <v>0.18579531644559724</v>
      </c>
      <c r="F49" s="7" t="str">
        <f>INDEX(Language!$D$2:$X$300,SUM(Language!AF52),IF(Overview!$A$1="EN",6,15))</f>
        <v>50 - 60 %</v>
      </c>
      <c r="G49" s="206">
        <v>211039405.80850729</v>
      </c>
      <c r="H49" s="220">
        <f>IF(($G$58=0),0,(G49/$G$58))</f>
        <v>0.29726282335186516</v>
      </c>
    </row>
    <row r="50" spans="1:10" x14ac:dyDescent="0.2">
      <c r="B50" s="7" t="str">
        <f>INDEX(Language!$D$2:$X$300,SUM(Language!AB53),IF(Overview!$A$1="EN",2,11))</f>
        <v>60 - 70 %</v>
      </c>
      <c r="C50" s="206">
        <v>389236244.54382104</v>
      </c>
      <c r="D50" s="220">
        <f t="shared" si="1"/>
        <v>0.21169322738872887</v>
      </c>
      <c r="F50" s="7" t="str">
        <f>INDEX(Language!$D$2:$X$300,SUM(Language!AF53),IF(Overview!$A$1="EN",6,15))</f>
        <v>60 - 70 %</v>
      </c>
      <c r="G50" s="206">
        <v>229989430.75</v>
      </c>
      <c r="H50" s="220">
        <f t="shared" si="2"/>
        <v>0.32395517445622607</v>
      </c>
    </row>
    <row r="51" spans="1:10" x14ac:dyDescent="0.2">
      <c r="B51" s="7" t="str">
        <f>INDEX(Language!$D$2:$X$300,SUM(Language!AB54),IF(Overview!$A$1="EN",2,11))</f>
        <v>70 - 80 %</v>
      </c>
      <c r="C51" s="206">
        <v>206119813.95648175</v>
      </c>
      <c r="D51" s="220">
        <f t="shared" si="1"/>
        <v>0.11210201839335533</v>
      </c>
      <c r="F51" s="7" t="str">
        <f>INDEX(Language!$D$2:$X$300,SUM(Language!AF54),IF(Overview!$A$1="EN",6,15))</f>
        <v>70 - 80 %</v>
      </c>
      <c r="G51" s="206">
        <v>28401285.83137726</v>
      </c>
      <c r="H51" s="220">
        <f t="shared" si="2"/>
        <v>4.0005070999485318E-2</v>
      </c>
    </row>
    <row r="52" spans="1:10" x14ac:dyDescent="0.2">
      <c r="B52" s="7" t="str">
        <f>INDEX(Language!$D$2:$X$300,SUM(Language!AB55),IF(Overview!$A$1="EN",2,11))</f>
        <v>80 - 85 %</v>
      </c>
      <c r="C52" s="206">
        <v>77695178.831011713</v>
      </c>
      <c r="D52" s="220">
        <f t="shared" si="1"/>
        <v>4.2255939393715983E-2</v>
      </c>
      <c r="F52" s="7" t="str">
        <f>INDEX(Language!$D$2:$X$300,SUM(Language!AF55),IF(Overview!$A$1="EN",6,15))</f>
        <v>80 - 85 %</v>
      </c>
      <c r="G52" s="206">
        <v>12025796.810000001</v>
      </c>
      <c r="H52" s="220">
        <f t="shared" si="2"/>
        <v>1.6939122336423616E-2</v>
      </c>
    </row>
    <row r="53" spans="1:10" x14ac:dyDescent="0.2">
      <c r="B53" s="7" t="str">
        <f>INDEX(Language!$D$2:$X$300,SUM(Language!AB56),IF(Overview!$A$1="EN",2,11))</f>
        <v>85 - 90 %</v>
      </c>
      <c r="C53" s="206">
        <v>53824608.05448056</v>
      </c>
      <c r="D53" s="220">
        <f t="shared" si="1"/>
        <v>2.92734943153619E-2</v>
      </c>
      <c r="F53" s="7" t="str">
        <f>INDEX(Language!$D$2:$X$300,SUM(Language!AF56),IF(Overview!$A$1="EN",6,15))</f>
        <v>85 - 90 %</v>
      </c>
      <c r="G53" s="206">
        <v>2513750.81</v>
      </c>
      <c r="H53" s="220">
        <f t="shared" si="2"/>
        <v>3.5407826330864102E-3</v>
      </c>
    </row>
    <row r="54" spans="1:10" x14ac:dyDescent="0.2">
      <c r="B54" s="7" t="str">
        <f>INDEX(Language!$D$2:$X$300,SUM(Language!AB57),IF(Overview!$A$1="EN",2,11))</f>
        <v>90 - 95%</v>
      </c>
      <c r="C54" s="206">
        <v>30284844.497868109</v>
      </c>
      <c r="D54" s="220">
        <f t="shared" si="1"/>
        <v>1.6470964774190532E-2</v>
      </c>
      <c r="F54" s="7" t="str">
        <f>INDEX(Language!$D$2:$X$300,SUM(Language!AF57),IF(Overview!$A$1="EN",6,15))</f>
        <v>90 - 95%</v>
      </c>
      <c r="G54" s="206">
        <v>1608445.51</v>
      </c>
      <c r="H54" s="220">
        <f t="shared" si="2"/>
        <v>2.2656008325955801E-3</v>
      </c>
    </row>
    <row r="55" spans="1:10" x14ac:dyDescent="0.2">
      <c r="B55" s="7" t="str">
        <f>INDEX(Language!$D$2:$X$300,SUM(Language!AB58),IF(Overview!$A$1="EN",2,11))</f>
        <v>95 - 100%</v>
      </c>
      <c r="C55" s="206">
        <v>40620934.921246603</v>
      </c>
      <c r="D55" s="220">
        <f t="shared" si="1"/>
        <v>2.2092435978320359E-2</v>
      </c>
      <c r="F55" s="7" t="str">
        <f>INDEX(Language!$D$2:$X$300,SUM(Language!AF58),IF(Overview!$A$1="EN",6,15))</f>
        <v>95 - 100%</v>
      </c>
      <c r="G55" s="206">
        <v>7688500</v>
      </c>
      <c r="H55" s="220">
        <f t="shared" si="2"/>
        <v>1.0829755744359109E-2</v>
      </c>
    </row>
    <row r="56" spans="1:10" x14ac:dyDescent="0.2">
      <c r="B56" s="7" t="str">
        <f>INDEX(Language!$D$2:$X$300,SUM(Language!AB59),IF(Overview!$A$1="EN",2,11))</f>
        <v>100 - 105%</v>
      </c>
      <c r="C56" s="206">
        <v>11833714.053975839</v>
      </c>
      <c r="D56" s="220">
        <f t="shared" si="1"/>
        <v>6.4359811173737508E-3</v>
      </c>
      <c r="F56" s="7" t="str">
        <f>INDEX(Language!$D$2:$X$300,SUM(Language!AF59),IF(Overview!$A$1="EN",6,15))</f>
        <v>100 - 105%</v>
      </c>
      <c r="G56" s="206">
        <v>14214239.995572479</v>
      </c>
      <c r="H56" s="220">
        <f t="shared" si="2"/>
        <v>2.0021687877186715E-2</v>
      </c>
    </row>
    <row r="57" spans="1:10" x14ac:dyDescent="0.2">
      <c r="B57" s="7" t="str">
        <f>INDEX(Language!$D$2:$X$300,SUM(Language!AB60),IF(Overview!$A$1="EN",2,11))</f>
        <v>≥ 105%</v>
      </c>
      <c r="C57" s="206">
        <v>24918672.066462941</v>
      </c>
      <c r="D57" s="220">
        <f t="shared" si="1"/>
        <v>1.355247407181533E-2</v>
      </c>
      <c r="F57" s="7" t="str">
        <f>INDEX(Language!$D$2:$X$300,SUM(Language!AF60),IF(Overview!$A$1="EN",6,15))</f>
        <v>≥ 105%</v>
      </c>
      <c r="G57" s="206">
        <v>3274326.3535316298</v>
      </c>
      <c r="H57" s="220">
        <f>IF(($G$58=0),0,(G57/$G$58))</f>
        <v>4.6121030937199175E-3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1838680667.044075</v>
      </c>
      <c r="D58" s="164">
        <f>SUM(D47:D57)</f>
        <v>0.99999999999999989</v>
      </c>
      <c r="E58" s="16"/>
      <c r="F58" s="11" t="str">
        <f>INDEX(Language!$D$2:$X$300,SUM(Language!AF61),IF(Overview!$A$1="EN",6,15))</f>
        <v>Total</v>
      </c>
      <c r="G58" s="69">
        <f>SUM(G47:G57)</f>
        <v>709942142.87840295</v>
      </c>
      <c r="H58" s="164">
        <f>SUM(H47:H57)</f>
        <v>1.0000000000000002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7" t="str">
        <f>INDEX(Language!$D$2:$X$300,SUM(Language!AB66),IF(Overview!$A$1="EN",2,11))</f>
        <v xml:space="preserve">Regional distribution </v>
      </c>
      <c r="C63" s="173" t="str">
        <f>INDEX(Language!$D$2:$X$300,SUM(Language!AC66),IF(Overview!$A$1="EN",3,12))</f>
        <v>volume</v>
      </c>
      <c r="D63" s="174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2548622809.9224782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206">
        <v>2153694474.8424783</v>
      </c>
      <c r="D65" s="162">
        <f t="shared" ref="D65:D92" si="3">IF(($C$99=0),0,(C65/$C$99))</f>
        <v>0.84504245448073478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206">
        <v>16739839.09</v>
      </c>
      <c r="D66" s="162">
        <f t="shared" si="3"/>
        <v>6.568190092636414E-3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3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3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3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3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3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3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3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3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206">
        <v>263859633.41</v>
      </c>
      <c r="D75" s="162">
        <f t="shared" si="3"/>
        <v>0.10353028011156576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3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3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3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3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3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3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3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3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3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3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3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3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3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3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3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206">
        <v>114328862.58</v>
      </c>
      <c r="D91" s="162">
        <f t="shared" si="3"/>
        <v>4.4859075315063023E-2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3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4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4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4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4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2548622809.9224782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5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8"/>
      <c r="I101" s="2"/>
    </row>
    <row r="102" spans="2:9" ht="15" customHeight="1" x14ac:dyDescent="0.2">
      <c r="B102" s="179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40" t="str">
        <f>INDEX(Language!$D$2:$X$300,SUM(Language!AG105),IF(Overview!$A$1="EN",7,16))</f>
        <v>Share in total</v>
      </c>
      <c r="H102" s="241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206">
        <v>0</v>
      </c>
      <c r="D103" s="207"/>
      <c r="E103" s="207"/>
      <c r="F103" s="219">
        <f>IF(($C$113=0),0,(C103/$C$113))</f>
        <v>0</v>
      </c>
      <c r="G103" s="230">
        <f>IF(($C$99=0),0,(C103/$C$99))</f>
        <v>0</v>
      </c>
      <c r="H103" s="231"/>
      <c r="I103" s="2"/>
    </row>
    <row r="104" spans="2:9" ht="15" customHeight="1" x14ac:dyDescent="0.2">
      <c r="B104" s="7" t="s">
        <v>249</v>
      </c>
      <c r="C104" s="206">
        <v>567822430.41215265</v>
      </c>
      <c r="D104" s="207"/>
      <c r="E104" s="207"/>
      <c r="F104" s="219">
        <f t="shared" ref="F104:F112" si="5">IF(($C$113=0),0,(C104/$C$113))</f>
        <v>0.26365040958452723</v>
      </c>
      <c r="G104" s="230">
        <f t="shared" ref="G104:G112" si="6">IF(($C$99=0),0,(C104/$C$99))</f>
        <v>0.22279578924015994</v>
      </c>
      <c r="H104" s="231"/>
      <c r="I104" s="2"/>
    </row>
    <row r="105" spans="2:9" ht="15" customHeight="1" x14ac:dyDescent="0.2">
      <c r="B105" s="7" t="s">
        <v>250</v>
      </c>
      <c r="C105" s="206">
        <v>1357478147.4625628</v>
      </c>
      <c r="D105" s="207"/>
      <c r="E105" s="207"/>
      <c r="F105" s="219">
        <f t="shared" si="5"/>
        <v>0.63030209870499343</v>
      </c>
      <c r="G105" s="230">
        <f t="shared" si="6"/>
        <v>0.53263203255402602</v>
      </c>
      <c r="H105" s="231"/>
      <c r="I105" s="2"/>
    </row>
    <row r="106" spans="2:9" ht="15" customHeight="1" x14ac:dyDescent="0.2">
      <c r="B106" s="7" t="s">
        <v>251</v>
      </c>
      <c r="C106" s="206">
        <v>62260651.113928959</v>
      </c>
      <c r="D106" s="207"/>
      <c r="E106" s="207"/>
      <c r="F106" s="219">
        <f t="shared" si="5"/>
        <v>2.8908766698898979E-2</v>
      </c>
      <c r="G106" s="230">
        <f t="shared" si="6"/>
        <v>2.4429135167248522E-2</v>
      </c>
      <c r="H106" s="231"/>
      <c r="I106" s="2"/>
    </row>
    <row r="107" spans="2:9" ht="15" customHeight="1" x14ac:dyDescent="0.2">
      <c r="B107" s="7" t="s">
        <v>84</v>
      </c>
      <c r="C107" s="206">
        <v>3450676.88</v>
      </c>
      <c r="D107" s="207"/>
      <c r="E107" s="207"/>
      <c r="F107" s="219">
        <f t="shared" si="5"/>
        <v>1.6022128116627977E-3</v>
      </c>
      <c r="G107" s="230">
        <f t="shared" si="6"/>
        <v>1.35393784696801E-3</v>
      </c>
      <c r="H107" s="231"/>
      <c r="I107" s="2"/>
    </row>
    <row r="108" spans="2:9" ht="15" customHeight="1" x14ac:dyDescent="0.2">
      <c r="B108" s="7" t="s">
        <v>252</v>
      </c>
      <c r="C108" s="206">
        <v>7458876.7510519903</v>
      </c>
      <c r="D108" s="207"/>
      <c r="E108" s="207"/>
      <c r="F108" s="219">
        <f t="shared" si="5"/>
        <v>3.4632938135747107E-3</v>
      </c>
      <c r="G108" s="230">
        <f t="shared" si="6"/>
        <v>2.9266303048111181E-3</v>
      </c>
      <c r="H108" s="231"/>
      <c r="I108" s="2"/>
    </row>
    <row r="109" spans="2:9" ht="15" customHeight="1" x14ac:dyDescent="0.2">
      <c r="B109" s="7" t="s">
        <v>253</v>
      </c>
      <c r="C109" s="206">
        <v>83726077.334287718</v>
      </c>
      <c r="D109" s="207"/>
      <c r="E109" s="207"/>
      <c r="F109" s="219">
        <f t="shared" si="5"/>
        <v>3.8875559329468706E-2</v>
      </c>
      <c r="G109" s="230">
        <f t="shared" si="6"/>
        <v>3.2851498075085667E-2</v>
      </c>
      <c r="H109" s="231"/>
      <c r="I109" s="2"/>
    </row>
    <row r="110" spans="2:9" ht="15" customHeight="1" x14ac:dyDescent="0.2">
      <c r="B110" s="7" t="s">
        <v>254</v>
      </c>
      <c r="C110" s="206">
        <v>4728754.8055493403</v>
      </c>
      <c r="D110" s="207"/>
      <c r="E110" s="207"/>
      <c r="F110" s="219">
        <f t="shared" si="5"/>
        <v>2.195647925361002E-3</v>
      </c>
      <c r="G110" s="230">
        <f t="shared" si="6"/>
        <v>1.8554157120225945E-3</v>
      </c>
      <c r="H110" s="231"/>
      <c r="I110" s="2"/>
    </row>
    <row r="111" spans="2:9" ht="15" customHeight="1" x14ac:dyDescent="0.2">
      <c r="B111" s="7" t="s">
        <v>88</v>
      </c>
      <c r="C111" s="206">
        <v>65189860.082944877</v>
      </c>
      <c r="D111" s="207"/>
      <c r="E111" s="207"/>
      <c r="F111" s="219">
        <f t="shared" si="5"/>
        <v>3.0268852357859571E-2</v>
      </c>
      <c r="G111" s="230">
        <f t="shared" si="6"/>
        <v>2.5578465290800628E-2</v>
      </c>
      <c r="H111" s="231"/>
      <c r="I111" s="2"/>
    </row>
    <row r="112" spans="2:9" ht="15" customHeight="1" x14ac:dyDescent="0.2">
      <c r="B112" s="7" t="s">
        <v>89</v>
      </c>
      <c r="C112" s="206">
        <v>1579000</v>
      </c>
      <c r="D112" s="207"/>
      <c r="E112" s="207"/>
      <c r="F112" s="219">
        <f t="shared" si="5"/>
        <v>7.3315877365357895E-4</v>
      </c>
      <c r="G112" s="230">
        <f t="shared" si="6"/>
        <v>6.1955028961230578E-4</v>
      </c>
      <c r="H112" s="231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2153694474.8424783</v>
      </c>
      <c r="D113" s="180"/>
      <c r="E113" s="180"/>
      <c r="F113" s="163">
        <f>SUM(F103:F112)</f>
        <v>1</v>
      </c>
      <c r="G113" s="234">
        <f>SUM(G103:H112)</f>
        <v>0.84504245448073501</v>
      </c>
      <c r="H113" s="235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32" t="str">
        <f>INDEX(Language!$D$2:$X$300,SUM(Language!AB120),IF(Overview!$A$1="EN",2,11))</f>
        <v>Primary cover pool by use of property</v>
      </c>
      <c r="C117" s="233">
        <f>INDEX(Language!$D$2:$X$300,SUM(Language!AC120),IF(Overview!$A$1="EN",3,12))</f>
        <v>0</v>
      </c>
      <c r="D117" s="173"/>
      <c r="E117" s="173"/>
      <c r="F117" s="173" t="str">
        <f>INDEX(Language!$D$2:$X$300,SUM(Language!AF120),IF(Overview!$A$1="EN",6,15))</f>
        <v>volume</v>
      </c>
      <c r="G117" s="238" t="str">
        <f>INDEX(Language!$D$2:$X$300,SUM(Language!AG120),IF(Overview!$A$1="EN",7,16))</f>
        <v>%</v>
      </c>
      <c r="H117" s="239">
        <f>INDEX(Language!$D$2:$X$300,SUM(Language!AH120),IF(Overview!$A$1="EN",8,17))</f>
        <v>0</v>
      </c>
    </row>
    <row r="118" spans="1:9" ht="15" customHeight="1" x14ac:dyDescent="0.2">
      <c r="B118" s="232" t="str">
        <f>INDEX(Language!$D$2:$X$300,SUM(Language!AB121),IF(Overview!$A$1="EN",2,11))</f>
        <v>Residential</v>
      </c>
      <c r="C118" s="233">
        <f>INDEX(Language!$D$2:$X$300,SUM(Language!AC121),IF(Overview!$A$1="EN",3,12))</f>
        <v>0</v>
      </c>
      <c r="D118" s="8"/>
      <c r="E118" s="8"/>
      <c r="F118" s="208">
        <f>SUM(F119:F121)</f>
        <v>1838680667.044075</v>
      </c>
      <c r="G118" s="236">
        <f>SUM(G119:H121)</f>
        <v>0.72144087382628519</v>
      </c>
      <c r="H118" s="237"/>
    </row>
    <row r="119" spans="1:9" ht="15" customHeight="1" x14ac:dyDescent="0.2">
      <c r="B119" s="224" t="str">
        <f>INDEX(Language!$D$2:$X$300,SUM(Language!AB122),IF(Overview!$A$1="EN",2,11))</f>
        <v xml:space="preserve">   thereof private use, incl. Multi-family housing</v>
      </c>
      <c r="C119" s="225">
        <f>INDEX(Language!$D$2:$X$300,SUM(Language!AC122),IF(Overview!$A$1="EN",3,12))</f>
        <v>0</v>
      </c>
      <c r="D119" s="8"/>
      <c r="E119" s="8"/>
      <c r="F119" s="206">
        <v>985747849.0514065</v>
      </c>
      <c r="G119" s="230">
        <f>IF(($F$130=0),0,(F119/$F$130))</f>
        <v>0.38677667217511497</v>
      </c>
      <c r="H119" s="231"/>
    </row>
    <row r="120" spans="1:9" ht="12.75" customHeight="1" x14ac:dyDescent="0.2">
      <c r="B120" s="224" t="str">
        <f>INDEX(Language!$D$2:$X$300,SUM(Language!AB123),IF(Overview!$A$1="EN",2,11))</f>
        <v xml:space="preserve">   thereof non-profit housing association</v>
      </c>
      <c r="C120" s="225">
        <f>INDEX(Language!$D$2:$X$300,SUM(Language!AC123),IF(Overview!$A$1="EN",3,12))</f>
        <v>0</v>
      </c>
      <c r="D120" s="8"/>
      <c r="E120" s="8"/>
      <c r="F120" s="206">
        <v>739046945.84573579</v>
      </c>
      <c r="G120" s="230">
        <f t="shared" ref="G120:G129" si="7">IF(($F$130=0),0,(F120/$F$130))</f>
        <v>0.28997894194795171</v>
      </c>
      <c r="H120" s="231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206">
        <v>113885872.14693256</v>
      </c>
      <c r="G121" s="230">
        <f t="shared" si="7"/>
        <v>4.4685259703218565E-2</v>
      </c>
      <c r="H121" s="231"/>
    </row>
    <row r="122" spans="1:9" x14ac:dyDescent="0.2">
      <c r="B122" s="232" t="str">
        <f>INDEX(Language!$D$2:$X$300,SUM(Language!AB125),IF(Overview!$A$1="EN",2,11))</f>
        <v>Commercial real estate</v>
      </c>
      <c r="C122" s="233">
        <f>INDEX(Language!$D$2:$X$300,SUM(Language!AC125),IF(Overview!$A$1="EN",3,12))</f>
        <v>0</v>
      </c>
      <c r="D122" s="8"/>
      <c r="E122" s="8"/>
      <c r="F122" s="208">
        <f>SUM(F123:F129)</f>
        <v>709942142.87840295</v>
      </c>
      <c r="G122" s="236">
        <f>SUM(G123:H129)</f>
        <v>0.27855912617371481</v>
      </c>
      <c r="H122" s="237"/>
    </row>
    <row r="123" spans="1:9" x14ac:dyDescent="0.2">
      <c r="B123" s="224" t="str">
        <f>INDEX(Language!$D$2:$X$300,SUM(Language!AB126),IF(Overview!$A$1="EN",2,11))</f>
        <v xml:space="preserve">   thereof Retail</v>
      </c>
      <c r="C123" s="225">
        <f>INDEX(Language!$D$2:$X$300,SUM(Language!AC126),IF(Overview!$A$1="EN",3,12))</f>
        <v>0</v>
      </c>
      <c r="D123" s="8"/>
      <c r="E123" s="8"/>
      <c r="F123" s="206">
        <v>129306212.81605884</v>
      </c>
      <c r="G123" s="230">
        <f t="shared" si="7"/>
        <v>5.0735719821950423E-2</v>
      </c>
      <c r="H123" s="231"/>
    </row>
    <row r="124" spans="1:9" x14ac:dyDescent="0.2">
      <c r="B124" s="224" t="str">
        <f>INDEX(Language!$D$2:$X$300,SUM(Language!AB127),IF(Overview!$A$1="EN",2,11))</f>
        <v xml:space="preserve">   thereof Office</v>
      </c>
      <c r="C124" s="225">
        <f>INDEX(Language!$D$2:$X$300,SUM(Language!AC127),IF(Overview!$A$1="EN",3,12))</f>
        <v>0</v>
      </c>
      <c r="D124" s="8"/>
      <c r="E124" s="8"/>
      <c r="F124" s="206">
        <v>164425026.11185917</v>
      </c>
      <c r="G124" s="230">
        <f t="shared" si="7"/>
        <v>6.4515245438323821E-2</v>
      </c>
      <c r="H124" s="231"/>
    </row>
    <row r="125" spans="1:9" x14ac:dyDescent="0.2">
      <c r="B125" s="224" t="str">
        <f>INDEX(Language!$D$2:$X$300,SUM(Language!AB128),IF(Overview!$A$1="EN",2,11))</f>
        <v xml:space="preserve">   thereof Tourism/ hotel</v>
      </c>
      <c r="C125" s="225">
        <f>INDEX(Language!$D$2:$X$300,SUM(Language!AC128),IF(Overview!$A$1="EN",3,12))</f>
        <v>0</v>
      </c>
      <c r="D125" s="8"/>
      <c r="E125" s="8"/>
      <c r="F125" s="206">
        <v>95096360.839563265</v>
      </c>
      <c r="G125" s="230">
        <f t="shared" si="7"/>
        <v>3.7312842241436203E-2</v>
      </c>
      <c r="H125" s="231"/>
    </row>
    <row r="126" spans="1:9" x14ac:dyDescent="0.2">
      <c r="B126" s="224" t="str">
        <f>INDEX(Language!$D$2:$X$300,SUM(Language!AB129),IF(Overview!$A$1="EN",2,11))</f>
        <v xml:space="preserve">   thereof Agriculture</v>
      </c>
      <c r="C126" s="225">
        <f>INDEX(Language!$D$2:$X$300,SUM(Language!AC129),IF(Overview!$A$1="EN",3,12))</f>
        <v>0</v>
      </c>
      <c r="D126" s="8"/>
      <c r="E126" s="8"/>
      <c r="F126" s="206">
        <v>16293086.36424523</v>
      </c>
      <c r="G126" s="230">
        <f t="shared" si="7"/>
        <v>6.3928982746335938E-3</v>
      </c>
      <c r="H126" s="231"/>
    </row>
    <row r="127" spans="1:9" x14ac:dyDescent="0.2">
      <c r="B127" s="224" t="str">
        <f>INDEX(Language!$D$2:$X$300,SUM(Language!AB130),IF(Overview!$A$1="EN",2,11))</f>
        <v xml:space="preserve">   thereof Industrial</v>
      </c>
      <c r="C127" s="225">
        <f>INDEX(Language!$D$2:$X$300,SUM(Language!AC130),IF(Overview!$A$1="EN",3,12))</f>
        <v>0</v>
      </c>
      <c r="D127" s="8"/>
      <c r="E127" s="8"/>
      <c r="F127" s="206">
        <v>206493832.14371899</v>
      </c>
      <c r="G127" s="230">
        <f t="shared" si="7"/>
        <v>8.1021731163898658E-2</v>
      </c>
      <c r="H127" s="231"/>
    </row>
    <row r="128" spans="1:9" x14ac:dyDescent="0.2">
      <c r="B128" s="224" t="str">
        <f>INDEX(Language!$D$2:$X$300,SUM(Language!AB131),IF(Overview!$A$1="EN",2,11))</f>
        <v xml:space="preserve">   Mixed use</v>
      </c>
      <c r="C128" s="225">
        <f>INDEX(Language!$D$2:$X$300,SUM(Language!AC131),IF(Overview!$A$1="EN",3,12))</f>
        <v>0</v>
      </c>
      <c r="D128" s="8"/>
      <c r="E128" s="8"/>
      <c r="F128" s="206">
        <v>53745270.914330773</v>
      </c>
      <c r="G128" s="230">
        <f t="shared" si="7"/>
        <v>2.1087965902638044E-2</v>
      </c>
      <c r="H128" s="231"/>
    </row>
    <row r="129" spans="1:10" x14ac:dyDescent="0.2">
      <c r="B129" s="224" t="str">
        <f>INDEX(Language!$D$2:$X$300,SUM(Language!AB132),IF(Overview!$A$1="EN",2,11))</f>
        <v xml:space="preserve">   Other</v>
      </c>
      <c r="C129" s="225">
        <f>INDEX(Language!$D$2:$X$300,SUM(Language!AC132),IF(Overview!$A$1="EN",3,12))</f>
        <v>0</v>
      </c>
      <c r="D129" s="8"/>
      <c r="E129" s="8"/>
      <c r="F129" s="206">
        <v>44582353.688626789</v>
      </c>
      <c r="G129" s="230">
        <f t="shared" si="7"/>
        <v>1.749272333083406E-2</v>
      </c>
      <c r="H129" s="231"/>
    </row>
    <row r="130" spans="1:10" ht="15" customHeight="1" x14ac:dyDescent="0.2">
      <c r="B130" s="232" t="str">
        <f>INDEX(Language!$D$2:$X$300,SUM(Language!AB133),IF(Overview!$A$1="EN",2,11))</f>
        <v>Total</v>
      </c>
      <c r="C130" s="233">
        <f>INDEX(Language!$D$2:$X$300,SUM(Language!AC133),IF(Overview!$A$1="EN",3,12))</f>
        <v>0</v>
      </c>
      <c r="D130" s="141"/>
      <c r="E130" s="141"/>
      <c r="F130" s="69">
        <f>F118+F122</f>
        <v>2548622809.9224777</v>
      </c>
      <c r="G130" s="234">
        <f>G118+G122</f>
        <v>1</v>
      </c>
      <c r="H130" s="235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1" t="str">
        <f>INDEX(Language!$D$2:$X$300,SUM(Language!AB137),IF(Overview!$A$1="EN",2,11))</f>
        <v>WA seasoning (in years)</v>
      </c>
      <c r="C134" s="182"/>
      <c r="D134" s="182"/>
      <c r="E134" s="182"/>
      <c r="F134" s="182"/>
      <c r="G134" s="228">
        <v>4.2317307829999997</v>
      </c>
      <c r="H134" s="229"/>
      <c r="J134" s="51"/>
    </row>
    <row r="136" spans="1:10" x14ac:dyDescent="0.2">
      <c r="B136" s="175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206">
        <v>492321594.93000001</v>
      </c>
      <c r="D137" s="220">
        <f>IF(($C$142=0),0,(C137/$C$142))</f>
        <v>0.19317161920283332</v>
      </c>
    </row>
    <row r="138" spans="1:10" x14ac:dyDescent="0.2">
      <c r="B138" s="7" t="str">
        <f>INDEX(Language!$D$2:$X$300,SUM(Language!AB141),IF(Overview!$A$1="EN",2,11))</f>
        <v>12 - 36 months</v>
      </c>
      <c r="C138" s="206">
        <v>980172879</v>
      </c>
      <c r="D138" s="220">
        <f>IF(($C$142=0),0,(C138/$C$142))</f>
        <v>0.38458922802696488</v>
      </c>
    </row>
    <row r="139" spans="1:10" x14ac:dyDescent="0.2">
      <c r="B139" s="7" t="str">
        <f>INDEX(Language!$D$2:$X$300,SUM(Language!AB142),IF(Overview!$A$1="EN",2,11))</f>
        <v>36 - 60 months</v>
      </c>
      <c r="C139" s="206">
        <v>324928787.5</v>
      </c>
      <c r="D139" s="220">
        <f>IF(($C$142=0),0,(C139/$C$142))</f>
        <v>0.12749190905573171</v>
      </c>
    </row>
    <row r="140" spans="1:10" x14ac:dyDescent="0.2">
      <c r="B140" s="7" t="str">
        <f>INDEX(Language!$D$2:$X$300,SUM(Language!AB143),IF(Overview!$A$1="EN",2,11))</f>
        <v>60 - 120 months</v>
      </c>
      <c r="C140" s="206">
        <v>384222818.50727195</v>
      </c>
      <c r="D140" s="220">
        <f>IF(($C$142=0),0,(C140/$C$142))</f>
        <v>0.15075703513732536</v>
      </c>
    </row>
    <row r="141" spans="1:10" x14ac:dyDescent="0.2">
      <c r="B141" s="7" t="str">
        <f>INDEX(Language!$D$2:$X$300,SUM(Language!AB144),IF(Overview!$A$1="EN",2,11))</f>
        <v>≥ 120 months</v>
      </c>
      <c r="C141" s="206">
        <v>366976729.98520625</v>
      </c>
      <c r="D141" s="220">
        <f>IF(($C$142=0),0,(C141/$C$142))</f>
        <v>0.1439902085771447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2548622809.9224782</v>
      </c>
      <c r="D142" s="183">
        <f>SUM(D137:D141)</f>
        <v>1</v>
      </c>
    </row>
    <row r="144" spans="1:10" x14ac:dyDescent="0.2">
      <c r="B144" s="175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5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206">
        <v>311526996.44065315</v>
      </c>
      <c r="D145" s="220">
        <f>IF(($C$150=0),0,(C145/$C$150))</f>
        <v>0.16942963616486731</v>
      </c>
      <c r="F145" s="7" t="str">
        <f>INDEX(Language!$D$2:$X$300,SUM(Language!AF148),IF(Overview!$A$1="EN",6,15))</f>
        <v>≤ 12 months</v>
      </c>
      <c r="G145" s="206">
        <v>180794598.48934683</v>
      </c>
      <c r="H145" s="220">
        <f>IF(($G$150=0),0,(G145/$G$150))</f>
        <v>0.25466103161073067</v>
      </c>
    </row>
    <row r="146" spans="1:10" x14ac:dyDescent="0.2">
      <c r="B146" s="7" t="str">
        <f>INDEX(Language!$D$2:$X$300,SUM(Language!AB149),IF(Overview!$A$1="EN",2,11))</f>
        <v>12 - 36 months</v>
      </c>
      <c r="C146" s="206">
        <v>626911793.05150914</v>
      </c>
      <c r="D146" s="220">
        <f>IF(($C$150=0),0,(C146/$C$150))</f>
        <v>0.34095740728016338</v>
      </c>
      <c r="F146" s="7" t="str">
        <f>INDEX(Language!$D$2:$X$300,SUM(Language!AF149),IF(Overview!$A$1="EN",6,15))</f>
        <v>12 - 36 months</v>
      </c>
      <c r="G146" s="206">
        <v>353261085.9484908</v>
      </c>
      <c r="H146" s="220">
        <f>IF(($G$150=0),0,(G146/$G$150))</f>
        <v>0.49759137345505694</v>
      </c>
    </row>
    <row r="147" spans="1:10" x14ac:dyDescent="0.2">
      <c r="B147" s="7" t="str">
        <f>INDEX(Language!$D$2:$X$300,SUM(Language!AB150),IF(Overview!$A$1="EN",2,11))</f>
        <v>36 - 60 months</v>
      </c>
      <c r="C147" s="206">
        <v>245965462.93678913</v>
      </c>
      <c r="D147" s="220">
        <f>IF(($C$150=0),0,(C147/$C$150))</f>
        <v>0.13377280097919966</v>
      </c>
      <c r="F147" s="7" t="str">
        <f>INDEX(Language!$D$2:$X$300,SUM(Language!AF150),IF(Overview!$A$1="EN",6,15))</f>
        <v>36 - 60 months</v>
      </c>
      <c r="G147" s="206">
        <v>78963324.56321086</v>
      </c>
      <c r="H147" s="220">
        <f>IF(($G$150=0),0,(G147/$G$150))</f>
        <v>0.11122501369345458</v>
      </c>
    </row>
    <row r="148" spans="1:10" x14ac:dyDescent="0.2">
      <c r="B148" s="7" t="str">
        <f>INDEX(Language!$D$2:$X$300,SUM(Language!AB151),IF(Overview!$A$1="EN",2,11))</f>
        <v>60 - 120 months</v>
      </c>
      <c r="C148" s="206">
        <v>322721947.4706291</v>
      </c>
      <c r="D148" s="220">
        <f>IF(($C$150=0),0,(C148/$C$150))</f>
        <v>0.17551821436696116</v>
      </c>
      <c r="F148" s="7" t="str">
        <f>INDEX(Language!$D$2:$X$300,SUM(Language!AF151),IF(Overview!$A$1="EN",6,15))</f>
        <v>60 - 120 months</v>
      </c>
      <c r="G148" s="206">
        <v>61500871.036642812</v>
      </c>
      <c r="H148" s="220">
        <f>IF(($G$150=0),0,(G148/$G$150))</f>
        <v>8.6628004343132115E-2</v>
      </c>
    </row>
    <row r="149" spans="1:10" x14ac:dyDescent="0.2">
      <c r="B149" s="7" t="str">
        <f>INDEX(Language!$D$2:$X$300,SUM(Language!AB152),IF(Overview!$A$1="EN",2,11))</f>
        <v>≥ 120 months</v>
      </c>
      <c r="C149" s="206">
        <v>331554467.14449447</v>
      </c>
      <c r="D149" s="220">
        <f>IF(($C$150=0),0,(C149/$C$150))</f>
        <v>0.18032194120880848</v>
      </c>
      <c r="F149" s="7" t="str">
        <f>INDEX(Language!$D$2:$X$300,SUM(Language!AF152),IF(Overview!$A$1="EN",6,15))</f>
        <v>≥ 120 months</v>
      </c>
      <c r="G149" s="206">
        <v>35422262.840711743</v>
      </c>
      <c r="H149" s="220">
        <f>IF(($G$150=0),0,(G149/$G$150))</f>
        <v>4.9894576897625831E-2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1838680667.044075</v>
      </c>
      <c r="D150" s="164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709942142.87840295</v>
      </c>
      <c r="H150" s="195">
        <f>SUM(H145:H149)</f>
        <v>1.0000000000000002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3"/>
      <c r="D155" s="180"/>
      <c r="E155" s="173"/>
      <c r="F155" s="180"/>
      <c r="G155" s="173"/>
      <c r="H155" s="184"/>
    </row>
    <row r="156" spans="1:10" ht="27.75" customHeight="1" x14ac:dyDescent="0.2">
      <c r="B156" s="226" t="str">
        <f>INDEX(Language!$D$2:$X$300,SUM(Language!AB159),IF(Overview!$A$1="EN",2,11))</f>
        <v>WA residual life (incl. contractural amortisation)</v>
      </c>
      <c r="C156" s="225">
        <f>INDEX(Language!$D$2:$X$300,SUM(Language!AC159),IF(Overview!$A$1="EN",3,12))</f>
        <v>0</v>
      </c>
      <c r="D156" s="225">
        <f>INDEX(Language!$D$2:$X$300,SUM(Language!AD159),IF(Overview!$A$1="EN",4,13))</f>
        <v>0</v>
      </c>
      <c r="E156" s="225">
        <f>INDEX(Language!$D$2:$X$300,SUM(Language!AE159),IF(Overview!$A$1="EN",5,14))</f>
        <v>0</v>
      </c>
      <c r="F156" s="225">
        <f>INDEX(Language!$D$2:$X$300,SUM(Language!AF159),IF(Overview!$A$1="EN",6,15))</f>
        <v>0</v>
      </c>
      <c r="G156" s="225">
        <f>INDEX(Language!$D$2:$X$300,SUM(Language!AG159),IF(Overview!$A$1="EN",7,16))</f>
        <v>0</v>
      </c>
      <c r="H156" s="209">
        <v>9.6603920199999997</v>
      </c>
    </row>
    <row r="157" spans="1:10" x14ac:dyDescent="0.2">
      <c r="B157" s="224" t="str">
        <f>INDEX(Language!$D$2:$X$300,SUM(Language!AB160),IF(Overview!$A$1="EN",2,11))</f>
        <v>WA residual life (final legal maturity)</v>
      </c>
      <c r="C157" s="225">
        <f>INDEX(Language!$D$2:$X$300,SUM(Language!AC160),IF(Overview!$A$1="EN",3,12))</f>
        <v>0</v>
      </c>
      <c r="D157" s="225">
        <f>INDEX(Language!$D$2:$X$300,SUM(Language!AD160),IF(Overview!$A$1="EN",4,13))</f>
        <v>0</v>
      </c>
      <c r="E157" s="225">
        <f>INDEX(Language!$D$2:$X$300,SUM(Language!AE160),IF(Overview!$A$1="EN",5,14))</f>
        <v>0</v>
      </c>
      <c r="F157" s="225">
        <f>INDEX(Language!$D$2:$X$300,SUM(Language!AF160),IF(Overview!$A$1="EN",6,15))</f>
        <v>0</v>
      </c>
      <c r="G157" s="225">
        <f>INDEX(Language!$D$2:$X$300,SUM(Language!AG160),IF(Overview!$A$1="EN",7,16))</f>
        <v>0</v>
      </c>
      <c r="H157" s="209">
        <v>16.156956399999999</v>
      </c>
    </row>
    <row r="158" spans="1:10" x14ac:dyDescent="0.2">
      <c r="B158" s="226" t="str">
        <f>INDEX(Language!$D$2:$X$300,SUM(Language!AB161),IF(Overview!$A$1="EN",2,11))</f>
        <v>WA residual life of issues (final legal maturity)</v>
      </c>
      <c r="C158" s="227">
        <f>INDEX(Language!$D$2:$X$300,SUM(Language!AC161),IF(Overview!$A$1="EN",3,12))</f>
        <v>0</v>
      </c>
      <c r="D158" s="227">
        <f>INDEX(Language!$D$2:$X$300,SUM(Language!AD161),IF(Overview!$A$1="EN",4,13))</f>
        <v>0</v>
      </c>
      <c r="E158" s="227">
        <f>INDEX(Language!$D$2:$X$300,SUM(Language!AE161),IF(Overview!$A$1="EN",5,14))</f>
        <v>0</v>
      </c>
      <c r="F158" s="227">
        <f>INDEX(Language!$D$2:$X$300,SUM(Language!AF161),IF(Overview!$A$1="EN",6,15))</f>
        <v>0</v>
      </c>
      <c r="G158" s="227">
        <f>INDEX(Language!$D$2:$X$300,SUM(Language!AG161),IF(Overview!$A$1="EN",7,16))</f>
        <v>0</v>
      </c>
      <c r="H158" s="209">
        <v>4.1325973300000003</v>
      </c>
    </row>
    <row r="159" spans="1:10" x14ac:dyDescent="0.2">
      <c r="H159" s="216"/>
    </row>
    <row r="160" spans="1:10" x14ac:dyDescent="0.2">
      <c r="B160" s="11" t="str">
        <f>INDEX(Language!$D$2:$X$300,SUM(Language!AB163),IF(Overview!$A$1="EN",2,11))</f>
        <v>Commercial</v>
      </c>
      <c r="C160" s="173"/>
      <c r="D160" s="180"/>
      <c r="E160" s="173"/>
      <c r="F160" s="180"/>
      <c r="G160" s="173"/>
      <c r="H160" s="217"/>
    </row>
    <row r="161" spans="2:8" ht="25.5" customHeight="1" x14ac:dyDescent="0.2">
      <c r="B161" s="226" t="str">
        <f>INDEX(Language!$D$2:$X$300,SUM(Language!AB164),IF(Overview!$A$1="EN",2,11))</f>
        <v>WA residual life (incl. contractural amortisation)</v>
      </c>
      <c r="C161" s="225">
        <f>INDEX(Language!$D$2:$X$300,SUM(Language!AC164),IF(Overview!$A$1="EN",3,12))</f>
        <v>0</v>
      </c>
      <c r="D161" s="225">
        <f>INDEX(Language!$D$2:$X$300,SUM(Language!AD164),IF(Overview!$A$1="EN",4,13))</f>
        <v>0</v>
      </c>
      <c r="E161" s="225">
        <f>INDEX(Language!$D$2:$X$300,SUM(Language!AE164),IF(Overview!$A$1="EN",5,14))</f>
        <v>0</v>
      </c>
      <c r="F161" s="225">
        <f>INDEX(Language!$D$2:$X$300,SUM(Language!AF164),IF(Overview!$A$1="EN",6,15))</f>
        <v>0</v>
      </c>
      <c r="G161" s="225">
        <f>INDEX(Language!$D$2:$X$300,SUM(Language!AG164),IF(Overview!$A$1="EN",7,16))</f>
        <v>0</v>
      </c>
      <c r="H161" s="209">
        <v>5.84768475</v>
      </c>
    </row>
    <row r="162" spans="2:8" x14ac:dyDescent="0.2">
      <c r="B162" s="224" t="str">
        <f>INDEX(Language!$D$2:$X$300,SUM(Language!AB165),IF(Overview!$A$1="EN",2,11))</f>
        <v>WA residual life (final legal maturity)</v>
      </c>
      <c r="C162" s="225">
        <f>INDEX(Language!$D$2:$X$300,SUM(Language!AC165),IF(Overview!$A$1="EN",3,12))</f>
        <v>0</v>
      </c>
      <c r="D162" s="225">
        <f>INDEX(Language!$D$2:$X$300,SUM(Language!AD165),IF(Overview!$A$1="EN",4,13))</f>
        <v>0</v>
      </c>
      <c r="E162" s="225">
        <f>INDEX(Language!$D$2:$X$300,SUM(Language!AE165),IF(Overview!$A$1="EN",5,14))</f>
        <v>0</v>
      </c>
      <c r="F162" s="225">
        <f>INDEX(Language!$D$2:$X$300,SUM(Language!AF165),IF(Overview!$A$1="EN",6,15))</f>
        <v>0</v>
      </c>
      <c r="G162" s="225">
        <f>INDEX(Language!$D$2:$X$300,SUM(Language!AG165),IF(Overview!$A$1="EN",7,16))</f>
        <v>0</v>
      </c>
      <c r="H162" s="209">
        <v>8.4071772800000009</v>
      </c>
    </row>
    <row r="163" spans="2:8" x14ac:dyDescent="0.2">
      <c r="H163" s="216"/>
    </row>
    <row r="164" spans="2:8" x14ac:dyDescent="0.2">
      <c r="B164" s="11" t="str">
        <f>INDEX(Language!$D$2:$X$300,SUM(Language!AB167),IF(Overview!$A$1="EN",2,11))</f>
        <v>Residential</v>
      </c>
      <c r="C164" s="173"/>
      <c r="D164" s="180"/>
      <c r="E164" s="173"/>
      <c r="F164" s="180"/>
      <c r="G164" s="173"/>
      <c r="H164" s="217"/>
    </row>
    <row r="165" spans="2:8" ht="25.5" customHeight="1" x14ac:dyDescent="0.2">
      <c r="B165" s="226" t="str">
        <f>INDEX(Language!$D$2:$X$300,SUM(Language!AB168),IF(Overview!$A$1="EN",2,11))</f>
        <v>WA residual life (incl. contractural amortisation)</v>
      </c>
      <c r="C165" s="225">
        <f>INDEX(Language!$D$2:$X$300,SUM(Language!AC168),IF(Overview!$A$1="EN",3,12))</f>
        <v>0</v>
      </c>
      <c r="D165" s="225">
        <f>INDEX(Language!$D$2:$X$300,SUM(Language!AD168),IF(Overview!$A$1="EN",4,13))</f>
        <v>0</v>
      </c>
      <c r="E165" s="225">
        <f>INDEX(Language!$D$2:$X$300,SUM(Language!AE168),IF(Overview!$A$1="EN",5,14))</f>
        <v>0</v>
      </c>
      <c r="F165" s="225">
        <f>INDEX(Language!$D$2:$X$300,SUM(Language!AF168),IF(Overview!$A$1="EN",6,15))</f>
        <v>0</v>
      </c>
      <c r="G165" s="225">
        <f>INDEX(Language!$D$2:$X$300,SUM(Language!AG168),IF(Overview!$A$1="EN",7,16))</f>
        <v>0</v>
      </c>
      <c r="H165" s="209">
        <v>11.1325354</v>
      </c>
    </row>
    <row r="166" spans="2:8" x14ac:dyDescent="0.2">
      <c r="B166" s="224" t="str">
        <f>INDEX(Language!$D$2:$X$300,SUM(Language!AB169),IF(Overview!$A$1="EN",2,11))</f>
        <v>WA residual life (final legal maturity)</v>
      </c>
      <c r="C166" s="225">
        <f>INDEX(Language!$D$2:$X$300,SUM(Language!AC169),IF(Overview!$A$1="EN",3,12))</f>
        <v>0</v>
      </c>
      <c r="D166" s="225">
        <f>INDEX(Language!$D$2:$X$300,SUM(Language!AD169),IF(Overview!$A$1="EN",4,13))</f>
        <v>0</v>
      </c>
      <c r="E166" s="225">
        <f>INDEX(Language!$D$2:$X$300,SUM(Language!AE169),IF(Overview!$A$1="EN",5,14))</f>
        <v>0</v>
      </c>
      <c r="F166" s="225">
        <f>INDEX(Language!$D$2:$X$300,SUM(Language!AF169),IF(Overview!$A$1="EN",6,15))</f>
        <v>0</v>
      </c>
      <c r="G166" s="225">
        <f>INDEX(Language!$D$2:$X$300,SUM(Language!AG169),IF(Overview!$A$1="EN",7,16))</f>
        <v>0</v>
      </c>
      <c r="H166" s="209">
        <v>19.149262190000002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5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5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206">
        <v>161530413.44418243</v>
      </c>
      <c r="D170" s="220">
        <f>IF(($C$175=0),0,(C170/$C$175))</f>
        <v>6.3379489823013738E-2</v>
      </c>
      <c r="F170" s="7" t="str">
        <f>INDEX(Language!$D$2:$X$300,SUM(Language!AF173),IF(Overview!$A$1="EN",6,15))</f>
        <v>≤ 12 months</v>
      </c>
      <c r="G170" s="206">
        <v>543000000</v>
      </c>
      <c r="H170" s="220">
        <f>IF(($G$175=0),0,(G170/$G$175))</f>
        <v>0.33413616264000795</v>
      </c>
    </row>
    <row r="171" spans="2:8" x14ac:dyDescent="0.2">
      <c r="B171" s="7" t="str">
        <f>INDEX(Language!$D$2:$X$300,SUM(Language!AB174),IF(Overview!$A$1="EN",2,11))</f>
        <v>12 - 36 months</v>
      </c>
      <c r="C171" s="206">
        <v>133678639.26766936</v>
      </c>
      <c r="D171" s="220">
        <f>IF(($C$175=0),0,(C171/$C$175))</f>
        <v>5.2451323415619693E-2</v>
      </c>
      <c r="F171" s="7" t="str">
        <f>INDEX(Language!$D$2:$X$300,SUM(Language!AF174),IF(Overview!$A$1="EN",6,15))</f>
        <v>12 - 36 months</v>
      </c>
      <c r="G171" s="206">
        <v>30000000</v>
      </c>
      <c r="H171" s="220">
        <f>IF(($G$175=0),0,(G171/$G$175))</f>
        <v>1.8460561471823646E-2</v>
      </c>
    </row>
    <row r="172" spans="2:8" x14ac:dyDescent="0.2">
      <c r="B172" s="7" t="str">
        <f>INDEX(Language!$D$2:$X$300,SUM(Language!AB175),IF(Overview!$A$1="EN",2,11))</f>
        <v>36 - 60 months</v>
      </c>
      <c r="C172" s="206">
        <v>258764871.64859441</v>
      </c>
      <c r="D172" s="220">
        <f>IF(($C$175=0),0,(C172/$C$175))</f>
        <v>0.10153125470004926</v>
      </c>
      <c r="F172" s="7" t="str">
        <f>INDEX(Language!$D$2:$X$300,SUM(Language!AF175),IF(Overview!$A$1="EN",6,15))</f>
        <v>36 - 60 months</v>
      </c>
      <c r="G172" s="206">
        <v>510000000</v>
      </c>
      <c r="H172" s="220">
        <f>IF(($G$175=0),0,(G172/$G$175))</f>
        <v>0.31382954502100197</v>
      </c>
    </row>
    <row r="173" spans="2:8" x14ac:dyDescent="0.2">
      <c r="B173" s="7" t="str">
        <f>INDEX(Language!$D$2:$X$300,SUM(Language!AB176),IF(Overview!$A$1="EN",2,11))</f>
        <v>60 - 120 months</v>
      </c>
      <c r="C173" s="206">
        <v>358205818.48984623</v>
      </c>
      <c r="D173" s="220">
        <f>IF(($C$175=0),0,(C173/$C$175))</f>
        <v>0.14054877681203118</v>
      </c>
      <c r="F173" s="7" t="str">
        <f>INDEX(Language!$D$2:$X$300,SUM(Language!AF176),IF(Overview!$A$1="EN",6,15))</f>
        <v>60 - 120 months</v>
      </c>
      <c r="G173" s="206">
        <v>512086000</v>
      </c>
      <c r="H173" s="220">
        <f>IF(($G$175=0),0,(G173/$G$175))</f>
        <v>0.31511316939534278</v>
      </c>
    </row>
    <row r="174" spans="2:8" x14ac:dyDescent="0.2">
      <c r="B174" s="7" t="str">
        <f>INDEX(Language!$D$2:$X$300,SUM(Language!AB177),IF(Overview!$A$1="EN",2,11))</f>
        <v>≥ 120 months</v>
      </c>
      <c r="C174" s="206">
        <v>1636443067.072186</v>
      </c>
      <c r="D174" s="220">
        <f>IF(($C$175=0),0,(C174/$C$175))</f>
        <v>0.642089155249286</v>
      </c>
      <c r="F174" s="7" t="str">
        <f>INDEX(Language!$D$2:$X$300,SUM(Language!AF177),IF(Overview!$A$1="EN",6,15))</f>
        <v>≥ 120 months</v>
      </c>
      <c r="G174" s="206">
        <v>30000000</v>
      </c>
      <c r="H174" s="220">
        <f>IF(($G$175=0),0,(G174/$G$175))</f>
        <v>1.8460561471823646E-2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2548622809.9224787</v>
      </c>
      <c r="D175" s="164">
        <f>SUM(D170:D174)</f>
        <v>0.99999999999999989</v>
      </c>
      <c r="F175" s="11" t="str">
        <f>INDEX(Language!$D$2:$X$300,SUM(Language!AF178),IF(Overview!$A$1="EN",6,15))</f>
        <v>Total</v>
      </c>
      <c r="G175" s="69">
        <f>SUM(G170:G174)</f>
        <v>1625086000</v>
      </c>
      <c r="H175" s="164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4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4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4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205">
        <v>1537603765.102478</v>
      </c>
      <c r="F196" s="7" t="str">
        <f>INDEX(Language!$D$2:$X$300,SUM(Language!AF199),IF(Overview!$A$1="EN",6,15))</f>
        <v>Variable, fixed rate during the year</v>
      </c>
      <c r="G196" s="8"/>
      <c r="H196" s="205">
        <v>545086000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205">
        <v>36443602.649999999</v>
      </c>
      <c r="F197" s="7" t="str">
        <f>INDEX(Language!$D$2:$X$300,SUM(Language!AF200),IF(Overview!$A$1="EN",6,15))</f>
        <v>Fixed rate, 1 - 2 years</v>
      </c>
      <c r="G197" s="8"/>
      <c r="H197" s="205">
        <v>0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205">
        <v>147286436.13999999</v>
      </c>
      <c r="F198" s="7" t="str">
        <f>INDEX(Language!$D$2:$X$300,SUM(Language!AF201),IF(Overview!$A$1="EN",6,15))</f>
        <v>Fixed rate, 2 - 5 years</v>
      </c>
      <c r="G198" s="8"/>
      <c r="H198" s="205">
        <v>540000000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205">
        <v>827289006.02999997</v>
      </c>
      <c r="F199" s="7" t="str">
        <f>INDEX(Language!$D$2:$X$300,SUM(Language!AF202),IF(Overview!$A$1="EN",6,15))</f>
        <v>Fixed rate, &gt; 5 years</v>
      </c>
      <c r="G199" s="8"/>
      <c r="H199" s="205">
        <v>540000000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4">
        <f>SUM(D196:D199)</f>
        <v>2548622809.9224777</v>
      </c>
      <c r="F200" s="11" t="str">
        <f>INDEX(Language!$D$2:$X$300,SUM(Language!AF203),IF(Overview!$A$1="EN",6,15))</f>
        <v>Total</v>
      </c>
      <c r="G200" s="141"/>
      <c r="H200" s="194">
        <f>SUM(H196:H199)</f>
        <v>1625086000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  <mergeCell ref="G113:H113"/>
    <mergeCell ref="B117:C117"/>
    <mergeCell ref="G117:H117"/>
    <mergeCell ref="B118:C118"/>
    <mergeCell ref="G118:H118"/>
    <mergeCell ref="B119:C119"/>
    <mergeCell ref="B120:C120"/>
    <mergeCell ref="G120:H120"/>
    <mergeCell ref="G121:H121"/>
    <mergeCell ref="G119:H119"/>
    <mergeCell ref="B122:C122"/>
    <mergeCell ref="B123:C123"/>
    <mergeCell ref="B124:C124"/>
    <mergeCell ref="G122:H122"/>
    <mergeCell ref="G123:H123"/>
    <mergeCell ref="G124:H124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62:G162"/>
    <mergeCell ref="B165:G165"/>
    <mergeCell ref="B166:G166"/>
    <mergeCell ref="B156:G156"/>
    <mergeCell ref="B157:G157"/>
    <mergeCell ref="B158:G158"/>
    <mergeCell ref="B161:G16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topLeftCell="A64" zoomScaleNormal="100" workbookViewId="0">
      <selection activeCell="D6" sqref="D6:D7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210"/>
    </row>
    <row r="6" spans="1:10" x14ac:dyDescent="0.25">
      <c r="B6" s="38" t="str">
        <f>INDEX(Language!$D$2:$X$300,SUM(Language!AB209),IF(Overview!$A$1="EN",3,11))</f>
        <v>Bonds</v>
      </c>
      <c r="C6" s="36"/>
      <c r="D6" s="210">
        <v>35146000</v>
      </c>
      <c r="E6" s="197"/>
      <c r="F6" s="197"/>
      <c r="G6" s="197"/>
      <c r="H6" s="197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10">
        <v>30246000</v>
      </c>
      <c r="E7" s="197"/>
      <c r="F7" s="197"/>
      <c r="G7" s="197"/>
      <c r="H7" s="197"/>
    </row>
    <row r="8" spans="1:10" x14ac:dyDescent="0.25">
      <c r="B8" s="40" t="str">
        <f>INDEX(Language!$D$2:$X$300,SUM(Language!AB211),IF(Overview!$A$1="EN",3,11))</f>
        <v>Total</v>
      </c>
      <c r="C8" s="45"/>
      <c r="D8" s="198">
        <f>D5+D6</f>
        <v>35146000</v>
      </c>
      <c r="E8" s="197"/>
      <c r="F8" s="197"/>
      <c r="G8" s="197"/>
      <c r="H8" s="197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199">
        <f>D8/[2]Primärdeckung!C14</f>
        <v>1.4396003984032296E-2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196"/>
      <c r="D12" s="200"/>
    </row>
    <row r="13" spans="1:10" x14ac:dyDescent="0.25">
      <c r="B13" s="38" t="str">
        <f>INDEX(Language!$D$2:$X$300,SUM(Language!AB216),IF(Overview!$A$1="EN",3,11))</f>
        <v>1.000.000 - 5.000.000</v>
      </c>
      <c r="C13" s="211">
        <v>9968500</v>
      </c>
      <c r="D13" s="212">
        <v>2</v>
      </c>
    </row>
    <row r="14" spans="1:10" x14ac:dyDescent="0.25">
      <c r="B14" s="38" t="str">
        <f>INDEX(Language!$D$2:$X$300,SUM(Language!AB217),IF(Overview!$A$1="EN",3,11))</f>
        <v>≥ 5.000.000</v>
      </c>
      <c r="C14" s="211">
        <v>25415000</v>
      </c>
      <c r="D14" s="212">
        <v>1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35383500</v>
      </c>
      <c r="D15" s="49">
        <f>SUM(D12:D14)</f>
        <v>3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11">
        <v>35383500</v>
      </c>
      <c r="D18" s="46"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35383500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18">
        <f>SUM(C27:C54)</f>
        <v>35383500</v>
      </c>
      <c r="D26" s="50"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11">
        <v>30383500</v>
      </c>
      <c r="D27" s="78"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211">
        <v>5000000</v>
      </c>
      <c r="D28" s="78">
        <f t="shared" ref="D28:D54" si="0">IF(($C$61=0),0,(C28/$C$61))</f>
        <v>0.14130880212528438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0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0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0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0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0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0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0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0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0</v>
      </c>
      <c r="D37" s="78">
        <f t="shared" si="0"/>
        <v>0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0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0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0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0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0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0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0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0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0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0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0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0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211">
        <v>0</v>
      </c>
      <c r="D50" s="78">
        <f t="shared" si="0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0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0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0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0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1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1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1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1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1"/>
        <v>0</v>
      </c>
    </row>
    <row r="61" spans="2:4" x14ac:dyDescent="0.25">
      <c r="B61" s="39" t="str">
        <f>INDEX(Language!$D$2:$X$300,SUM(Language!AB264),IF(Overview!$A$1="EN",3,11))</f>
        <v>Total</v>
      </c>
      <c r="C61" s="213">
        <f>C55+C26</f>
        <v>35383500</v>
      </c>
      <c r="D61" s="4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64" t="s">
        <v>156</v>
      </c>
      <c r="F2" s="264"/>
      <c r="G2" s="264"/>
      <c r="H2" s="80"/>
      <c r="I2" s="80" t="s">
        <v>0</v>
      </c>
      <c r="J2" s="265" t="s">
        <v>156</v>
      </c>
      <c r="K2" s="265"/>
      <c r="L2" s="265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66" t="s">
        <v>297</v>
      </c>
      <c r="E36" s="266"/>
      <c r="F36" s="266"/>
      <c r="G36" s="266"/>
      <c r="H36" s="27"/>
      <c r="I36" s="267" t="s">
        <v>290</v>
      </c>
      <c r="J36" s="267"/>
      <c r="K36" s="267"/>
      <c r="L36" s="267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66" t="s">
        <v>298</v>
      </c>
      <c r="E37" s="266"/>
      <c r="F37" s="266"/>
      <c r="G37" s="266"/>
      <c r="H37" s="6"/>
      <c r="I37" s="267" t="s">
        <v>291</v>
      </c>
      <c r="J37" s="267"/>
      <c r="K37" s="267"/>
      <c r="L37" s="267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68" t="s">
        <v>247</v>
      </c>
      <c r="K139" s="269"/>
      <c r="M139" s="2"/>
      <c r="N139" s="18"/>
      <c r="O139" s="19" t="s">
        <v>24</v>
      </c>
      <c r="P139" s="22"/>
      <c r="Q139" s="22"/>
      <c r="R139" s="19" t="s">
        <v>80</v>
      </c>
      <c r="S139" s="268" t="s">
        <v>117</v>
      </c>
      <c r="T139" s="269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48">
        <f>IF(($C$99=0),0,(F140/$C$99))</f>
        <v>0</v>
      </c>
      <c r="K140" s="249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48">
        <f>IF(($C$99=0),0,(O140/$C$99))</f>
        <v>0</v>
      </c>
      <c r="T140" s="249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48">
        <f t="shared" ref="J141:J149" si="11">IF(($C$99=0),0,(F141/$C$99))</f>
        <v>0</v>
      </c>
      <c r="K141" s="249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48">
        <f t="shared" ref="S141:S149" si="13">IF(($C$99=0),0,(O141/$C$99))</f>
        <v>0</v>
      </c>
      <c r="T141" s="249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48">
        <f t="shared" si="11"/>
        <v>0</v>
      </c>
      <c r="K142" s="249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48">
        <f t="shared" si="13"/>
        <v>0</v>
      </c>
      <c r="T142" s="249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48">
        <f t="shared" si="11"/>
        <v>0</v>
      </c>
      <c r="K143" s="249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48">
        <f t="shared" si="13"/>
        <v>0</v>
      </c>
      <c r="T143" s="249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48">
        <f t="shared" si="11"/>
        <v>0</v>
      </c>
      <c r="K144" s="249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48">
        <f t="shared" si="13"/>
        <v>0</v>
      </c>
      <c r="T144" s="249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48">
        <f t="shared" si="11"/>
        <v>0</v>
      </c>
      <c r="K145" s="249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48">
        <f t="shared" si="13"/>
        <v>0</v>
      </c>
      <c r="T145" s="249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48">
        <f t="shared" si="11"/>
        <v>0</v>
      </c>
      <c r="K146" s="249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48">
        <f t="shared" si="13"/>
        <v>0</v>
      </c>
      <c r="T146" s="249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48">
        <f t="shared" si="11"/>
        <v>0</v>
      </c>
      <c r="K147" s="249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48">
        <f t="shared" si="13"/>
        <v>0</v>
      </c>
      <c r="T147" s="249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48">
        <f t="shared" si="11"/>
        <v>0</v>
      </c>
      <c r="K148" s="249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48">
        <f t="shared" si="13"/>
        <v>0</v>
      </c>
      <c r="T148" s="249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48">
        <f t="shared" si="11"/>
        <v>0</v>
      </c>
      <c r="K149" s="249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48">
        <f t="shared" si="13"/>
        <v>0</v>
      </c>
      <c r="T149" s="249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52">
        <f>SUM(J140:K149)</f>
        <v>0</v>
      </c>
      <c r="K150" s="253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52">
        <f>SUM(S140:T149)</f>
        <v>0</v>
      </c>
      <c r="T150" s="253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50" t="s">
        <v>322</v>
      </c>
      <c r="F154" s="251"/>
      <c r="G154" s="112"/>
      <c r="H154" s="112"/>
      <c r="I154" s="112" t="s">
        <v>198</v>
      </c>
      <c r="J154" s="254" t="s">
        <v>41</v>
      </c>
      <c r="K154" s="255"/>
      <c r="M154" s="2"/>
      <c r="N154" s="250" t="s">
        <v>350</v>
      </c>
      <c r="O154" s="251"/>
      <c r="P154" s="112"/>
      <c r="Q154" s="112"/>
      <c r="R154" s="112" t="s">
        <v>24</v>
      </c>
      <c r="S154" s="254" t="s">
        <v>41</v>
      </c>
      <c r="T154" s="255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60" t="s">
        <v>323</v>
      </c>
      <c r="F155" s="261"/>
      <c r="G155" s="261"/>
      <c r="H155" s="141"/>
      <c r="I155" s="69">
        <f>SUM(I156:I158)</f>
        <v>60000000</v>
      </c>
      <c r="J155" s="234">
        <f>SUM(J156:K158)</f>
        <v>1</v>
      </c>
      <c r="K155" s="235"/>
      <c r="M155" s="2"/>
      <c r="N155" s="232" t="s">
        <v>351</v>
      </c>
      <c r="O155" s="233"/>
      <c r="P155" s="8"/>
      <c r="Q155" s="8"/>
      <c r="R155" s="69">
        <f>SUM(R156:R158)</f>
        <v>15000000000</v>
      </c>
      <c r="S155" s="234">
        <f>SUM(S156:T158)</f>
        <v>250</v>
      </c>
      <c r="T155" s="235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62" t="s">
        <v>324</v>
      </c>
      <c r="F156" s="263"/>
      <c r="G156" s="263"/>
      <c r="H156" s="8"/>
      <c r="I156" s="66">
        <v>20000000</v>
      </c>
      <c r="J156" s="248">
        <f>IF(($F$130=0),0,(I156/$F$130))</f>
        <v>0.33333333333333331</v>
      </c>
      <c r="K156" s="249"/>
      <c r="M156" s="2"/>
      <c r="N156" s="224" t="s">
        <v>352</v>
      </c>
      <c r="O156" s="225"/>
      <c r="P156" s="8"/>
      <c r="Q156" s="8"/>
      <c r="R156" s="66">
        <v>5000000000</v>
      </c>
      <c r="S156" s="248">
        <f>IF(($F$130=0),0,(R156/$F$130))</f>
        <v>83.333333333333329</v>
      </c>
      <c r="T156" s="249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56" t="s">
        <v>325</v>
      </c>
      <c r="F157" s="257"/>
      <c r="G157" s="142"/>
      <c r="H157" s="8"/>
      <c r="I157" s="66">
        <v>20000000</v>
      </c>
      <c r="J157" s="248">
        <f t="shared" ref="J157:J158" si="14">IF(($F$130=0),0,(I157/$F$130))</f>
        <v>0.33333333333333331</v>
      </c>
      <c r="K157" s="249"/>
      <c r="M157" s="2"/>
      <c r="N157" s="224" t="s">
        <v>353</v>
      </c>
      <c r="O157" s="225"/>
      <c r="P157" s="8"/>
      <c r="Q157" s="8"/>
      <c r="R157" s="66">
        <v>5000000000</v>
      </c>
      <c r="S157" s="248">
        <f t="shared" ref="S157:S166" si="15">IF(($F$130=0),0,(R157/$F$130))</f>
        <v>83.333333333333329</v>
      </c>
      <c r="T157" s="249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48">
        <f t="shared" si="14"/>
        <v>0.33333333333333331</v>
      </c>
      <c r="K158" s="249"/>
      <c r="M158" s="2"/>
      <c r="N158" s="114" t="s">
        <v>354</v>
      </c>
      <c r="O158" s="115"/>
      <c r="P158" s="8"/>
      <c r="Q158" s="8"/>
      <c r="R158" s="66">
        <v>5000000000</v>
      </c>
      <c r="S158" s="248">
        <f t="shared" si="15"/>
        <v>83.333333333333329</v>
      </c>
      <c r="T158" s="249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58" t="s">
        <v>327</v>
      </c>
      <c r="F159" s="259"/>
      <c r="G159" s="144"/>
      <c r="H159" s="141"/>
      <c r="I159" s="69">
        <f>SUM(I160:I166)</f>
        <v>140000000</v>
      </c>
      <c r="J159" s="234">
        <f>SUM(J160:K166)</f>
        <v>2.333333333333333</v>
      </c>
      <c r="K159" s="235"/>
      <c r="M159" s="2"/>
      <c r="N159" s="232" t="s">
        <v>355</v>
      </c>
      <c r="O159" s="233"/>
      <c r="P159" s="8"/>
      <c r="Q159" s="8"/>
      <c r="R159" s="69">
        <f>SUM(R160:R166)</f>
        <v>0</v>
      </c>
      <c r="S159" s="234">
        <f>SUM(S160:T166)</f>
        <v>0</v>
      </c>
      <c r="T159" s="235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56" t="s">
        <v>328</v>
      </c>
      <c r="F160" s="257"/>
      <c r="G160" s="145"/>
      <c r="H160" s="8"/>
      <c r="I160" s="66">
        <v>20000000</v>
      </c>
      <c r="J160" s="248">
        <f>IF(($F$130=0),0,(I160/$F$130))</f>
        <v>0.33333333333333331</v>
      </c>
      <c r="K160" s="249"/>
      <c r="M160" s="2"/>
      <c r="N160" s="224" t="s">
        <v>356</v>
      </c>
      <c r="O160" s="225"/>
      <c r="P160" s="8"/>
      <c r="Q160" s="8"/>
      <c r="R160" s="66">
        <v>0</v>
      </c>
      <c r="S160" s="248">
        <f t="shared" si="15"/>
        <v>0</v>
      </c>
      <c r="T160" s="249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56" t="s">
        <v>329</v>
      </c>
      <c r="F161" s="257"/>
      <c r="G161" s="145"/>
      <c r="H161" s="8"/>
      <c r="I161" s="66">
        <v>20000000</v>
      </c>
      <c r="J161" s="248">
        <f>IF(($F$130=0),0,(I161/$F$130))</f>
        <v>0.33333333333333331</v>
      </c>
      <c r="K161" s="249"/>
      <c r="M161" s="2"/>
      <c r="N161" s="224" t="s">
        <v>357</v>
      </c>
      <c r="O161" s="225"/>
      <c r="P161" s="8"/>
      <c r="Q161" s="8"/>
      <c r="R161" s="66">
        <v>0</v>
      </c>
      <c r="S161" s="248">
        <f t="shared" si="15"/>
        <v>0</v>
      </c>
      <c r="T161" s="249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56" t="s">
        <v>330</v>
      </c>
      <c r="F162" s="257"/>
      <c r="G162" s="145"/>
      <c r="H162" s="8"/>
      <c r="I162" s="66">
        <v>20000000</v>
      </c>
      <c r="J162" s="248">
        <f t="shared" ref="J162:J166" si="16">IF(($F$130=0),0,(I162/$F$130))</f>
        <v>0.33333333333333331</v>
      </c>
      <c r="K162" s="249"/>
      <c r="M162" s="2"/>
      <c r="N162" s="224" t="s">
        <v>358</v>
      </c>
      <c r="O162" s="225"/>
      <c r="P162" s="8"/>
      <c r="Q162" s="8"/>
      <c r="R162" s="66">
        <v>0</v>
      </c>
      <c r="S162" s="248">
        <f t="shared" si="15"/>
        <v>0</v>
      </c>
      <c r="T162" s="249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56" t="s">
        <v>331</v>
      </c>
      <c r="F163" s="257"/>
      <c r="G163" s="145"/>
      <c r="H163" s="8"/>
      <c r="I163" s="66">
        <v>20000000</v>
      </c>
      <c r="J163" s="248">
        <f t="shared" si="16"/>
        <v>0.33333333333333331</v>
      </c>
      <c r="K163" s="249"/>
      <c r="M163" s="2"/>
      <c r="N163" s="224" t="s">
        <v>359</v>
      </c>
      <c r="O163" s="225"/>
      <c r="P163" s="8"/>
      <c r="Q163" s="8"/>
      <c r="R163" s="66">
        <v>0</v>
      </c>
      <c r="S163" s="248">
        <f t="shared" si="15"/>
        <v>0</v>
      </c>
      <c r="T163" s="249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56" t="s">
        <v>332</v>
      </c>
      <c r="F164" s="257"/>
      <c r="G164" s="145"/>
      <c r="H164" s="8"/>
      <c r="I164" s="66">
        <v>20000000</v>
      </c>
      <c r="J164" s="248">
        <f t="shared" si="16"/>
        <v>0.33333333333333331</v>
      </c>
      <c r="K164" s="249"/>
      <c r="M164" s="2"/>
      <c r="N164" s="224" t="s">
        <v>360</v>
      </c>
      <c r="O164" s="225"/>
      <c r="P164" s="8"/>
      <c r="Q164" s="8"/>
      <c r="R164" s="66">
        <v>0</v>
      </c>
      <c r="S164" s="248">
        <f t="shared" si="15"/>
        <v>0</v>
      </c>
      <c r="T164" s="249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56" t="s">
        <v>333</v>
      </c>
      <c r="F165" s="257"/>
      <c r="G165" s="145"/>
      <c r="H165" s="8"/>
      <c r="I165" s="66">
        <v>20000000</v>
      </c>
      <c r="J165" s="248">
        <f t="shared" si="16"/>
        <v>0.33333333333333331</v>
      </c>
      <c r="K165" s="249"/>
      <c r="M165" s="2"/>
      <c r="N165" s="224" t="s">
        <v>361</v>
      </c>
      <c r="O165" s="225"/>
      <c r="P165" s="8"/>
      <c r="Q165" s="8"/>
      <c r="R165" s="66">
        <v>0</v>
      </c>
      <c r="S165" s="248">
        <f t="shared" si="15"/>
        <v>0</v>
      </c>
      <c r="T165" s="249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56" t="s">
        <v>334</v>
      </c>
      <c r="F166" s="257"/>
      <c r="G166" s="145"/>
      <c r="H166" s="8"/>
      <c r="I166" s="66">
        <v>20000000</v>
      </c>
      <c r="J166" s="248">
        <f t="shared" si="16"/>
        <v>0.33333333333333331</v>
      </c>
      <c r="K166" s="249"/>
      <c r="M166" s="2"/>
      <c r="N166" s="224" t="s">
        <v>362</v>
      </c>
      <c r="O166" s="225"/>
      <c r="P166" s="8"/>
      <c r="Q166" s="8"/>
      <c r="R166" s="66">
        <v>0</v>
      </c>
      <c r="S166" s="248">
        <f t="shared" si="15"/>
        <v>0</v>
      </c>
      <c r="T166" s="249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50" t="s">
        <v>205</v>
      </c>
      <c r="F167" s="251"/>
      <c r="G167" s="23"/>
      <c r="H167" s="23"/>
      <c r="I167" s="70">
        <f>I155+I159</f>
        <v>200000000</v>
      </c>
      <c r="J167" s="252">
        <f>J155+J159</f>
        <v>3.333333333333333</v>
      </c>
      <c r="K167" s="253"/>
      <c r="M167" s="2"/>
      <c r="N167" s="250" t="s">
        <v>30</v>
      </c>
      <c r="O167" s="251"/>
      <c r="P167" s="23"/>
      <c r="Q167" s="23"/>
      <c r="R167" s="70">
        <f>R155+R159</f>
        <v>15000000000</v>
      </c>
      <c r="S167" s="252">
        <f>S155+S159</f>
        <v>250</v>
      </c>
      <c r="T167" s="253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45">
        <v>5</v>
      </c>
      <c r="K171" s="246"/>
      <c r="M171" s="2"/>
      <c r="N171" s="32" t="s">
        <v>163</v>
      </c>
      <c r="O171" s="33"/>
      <c r="P171" s="33"/>
      <c r="Q171" s="33"/>
      <c r="R171" s="33"/>
      <c r="S171" s="245">
        <v>5</v>
      </c>
      <c r="T171" s="246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26" t="s">
        <v>263</v>
      </c>
      <c r="F193" s="225"/>
      <c r="G193" s="225"/>
      <c r="H193" s="225"/>
      <c r="I193" s="225"/>
      <c r="J193" s="225"/>
      <c r="K193" s="107">
        <v>5</v>
      </c>
      <c r="M193" s="2"/>
      <c r="N193" s="244" t="s">
        <v>159</v>
      </c>
      <c r="O193" s="243"/>
      <c r="P193" s="243"/>
      <c r="Q193" s="243"/>
      <c r="R193" s="243"/>
      <c r="S193" s="243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26" t="s">
        <v>264</v>
      </c>
      <c r="F194" s="225"/>
      <c r="G194" s="225"/>
      <c r="H194" s="225"/>
      <c r="I194" s="225"/>
      <c r="J194" s="225"/>
      <c r="K194" s="107">
        <v>5</v>
      </c>
      <c r="M194" s="2"/>
      <c r="N194" s="242" t="s">
        <v>160</v>
      </c>
      <c r="O194" s="243"/>
      <c r="P194" s="243"/>
      <c r="Q194" s="243"/>
      <c r="R194" s="243"/>
      <c r="S194" s="243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26" t="s">
        <v>265</v>
      </c>
      <c r="F195" s="225"/>
      <c r="G195" s="225"/>
      <c r="H195" s="225"/>
      <c r="I195" s="225"/>
      <c r="J195" s="225"/>
      <c r="K195" s="107">
        <v>5</v>
      </c>
      <c r="M195" s="2"/>
      <c r="N195" s="244" t="s">
        <v>146</v>
      </c>
      <c r="O195" s="247"/>
      <c r="P195" s="247"/>
      <c r="Q195" s="247"/>
      <c r="R195" s="247"/>
      <c r="S195" s="247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26" t="s">
        <v>263</v>
      </c>
      <c r="F198" s="225"/>
      <c r="G198" s="225"/>
      <c r="H198" s="225"/>
      <c r="I198" s="225"/>
      <c r="J198" s="225"/>
      <c r="K198" s="107">
        <v>5</v>
      </c>
      <c r="M198" s="2"/>
      <c r="N198" s="244" t="s">
        <v>159</v>
      </c>
      <c r="O198" s="243"/>
      <c r="P198" s="243"/>
      <c r="Q198" s="243"/>
      <c r="R198" s="243"/>
      <c r="S198" s="243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26" t="s">
        <v>264</v>
      </c>
      <c r="F199" s="225"/>
      <c r="G199" s="225"/>
      <c r="H199" s="225"/>
      <c r="I199" s="225"/>
      <c r="J199" s="225"/>
      <c r="K199" s="107">
        <v>5</v>
      </c>
      <c r="M199" s="2"/>
      <c r="N199" s="242" t="s">
        <v>160</v>
      </c>
      <c r="O199" s="243"/>
      <c r="P199" s="243"/>
      <c r="Q199" s="243"/>
      <c r="R199" s="243"/>
      <c r="S199" s="243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26" t="s">
        <v>263</v>
      </c>
      <c r="F202" s="225"/>
      <c r="G202" s="225"/>
      <c r="H202" s="225"/>
      <c r="I202" s="225"/>
      <c r="J202" s="225"/>
      <c r="K202" s="107">
        <v>5</v>
      </c>
      <c r="M202" s="2"/>
      <c r="N202" s="244" t="s">
        <v>159</v>
      </c>
      <c r="O202" s="243"/>
      <c r="P202" s="243"/>
      <c r="Q202" s="243"/>
      <c r="R202" s="243"/>
      <c r="S202" s="243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26" t="s">
        <v>264</v>
      </c>
      <c r="F203" s="225"/>
      <c r="G203" s="225"/>
      <c r="H203" s="225"/>
      <c r="I203" s="225"/>
      <c r="J203" s="225"/>
      <c r="K203" s="107">
        <v>5</v>
      </c>
      <c r="M203" s="2"/>
      <c r="N203" s="242" t="s">
        <v>160</v>
      </c>
      <c r="O203" s="243"/>
      <c r="P203" s="243"/>
      <c r="Q203" s="243"/>
      <c r="R203" s="243"/>
      <c r="S203" s="243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S144:T144"/>
    <mergeCell ref="S145:T145"/>
    <mergeCell ref="S146:T146"/>
    <mergeCell ref="S147:T147"/>
    <mergeCell ref="S148:T148"/>
    <mergeCell ref="S139:T139"/>
    <mergeCell ref="S140:T140"/>
    <mergeCell ref="S141:T141"/>
    <mergeCell ref="S142:T142"/>
    <mergeCell ref="S143:T143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E155:G155"/>
    <mergeCell ref="J155:K155"/>
    <mergeCell ref="E156:G156"/>
    <mergeCell ref="J156:K156"/>
    <mergeCell ref="E157:F157"/>
    <mergeCell ref="J157:K157"/>
    <mergeCell ref="J158:K158"/>
    <mergeCell ref="E159:F159"/>
    <mergeCell ref="J159:K159"/>
    <mergeCell ref="E160:F160"/>
    <mergeCell ref="J160:K160"/>
    <mergeCell ref="E161:F161"/>
    <mergeCell ref="J161:K161"/>
    <mergeCell ref="E162:F162"/>
    <mergeCell ref="J162:K162"/>
    <mergeCell ref="E163:F163"/>
    <mergeCell ref="J163:K163"/>
    <mergeCell ref="E164:F164"/>
    <mergeCell ref="J164:K164"/>
    <mergeCell ref="E165:F165"/>
    <mergeCell ref="J165:K165"/>
    <mergeCell ref="E166:F166"/>
    <mergeCell ref="J166:K166"/>
    <mergeCell ref="E167:F167"/>
    <mergeCell ref="J167:K167"/>
    <mergeCell ref="J171:K171"/>
    <mergeCell ref="E193:J193"/>
    <mergeCell ref="E194:J194"/>
    <mergeCell ref="E195:J195"/>
    <mergeCell ref="E198:J198"/>
    <mergeCell ref="E199:J199"/>
    <mergeCell ref="E202:J202"/>
    <mergeCell ref="E203:J203"/>
    <mergeCell ref="J146:K146"/>
    <mergeCell ref="J147:K147"/>
    <mergeCell ref="J148:K148"/>
    <mergeCell ref="S149:T149"/>
    <mergeCell ref="J149:K149"/>
    <mergeCell ref="S150:T150"/>
    <mergeCell ref="N154:O154"/>
    <mergeCell ref="S154:T154"/>
    <mergeCell ref="N155:O155"/>
    <mergeCell ref="S155:T155"/>
    <mergeCell ref="N156:O156"/>
    <mergeCell ref="S156:T156"/>
    <mergeCell ref="N157:O157"/>
    <mergeCell ref="S157:T157"/>
    <mergeCell ref="S158:T158"/>
    <mergeCell ref="N159:O159"/>
    <mergeCell ref="S159:T159"/>
    <mergeCell ref="N160:O160"/>
    <mergeCell ref="S160:T160"/>
    <mergeCell ref="N161:O161"/>
    <mergeCell ref="S161:T161"/>
    <mergeCell ref="N162:O162"/>
    <mergeCell ref="S162:T162"/>
    <mergeCell ref="N163:O163"/>
    <mergeCell ref="S163:T163"/>
    <mergeCell ref="N164:O164"/>
    <mergeCell ref="S164:T164"/>
    <mergeCell ref="N165:O165"/>
    <mergeCell ref="S165:T165"/>
    <mergeCell ref="N166:O166"/>
    <mergeCell ref="S166:T166"/>
    <mergeCell ref="N167:O167"/>
    <mergeCell ref="S167:T167"/>
    <mergeCell ref="N199:S199"/>
    <mergeCell ref="N202:S202"/>
    <mergeCell ref="N203:S203"/>
    <mergeCell ref="S171:T171"/>
    <mergeCell ref="N193:S193"/>
    <mergeCell ref="N194:S194"/>
    <mergeCell ref="N195:S195"/>
    <mergeCell ref="N198:S1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2018-04-11T11:30:07Z</cp:lastPrinted>
  <dcterms:created xsi:type="dcterms:W3CDTF">2013-10-29T11:27:30Z</dcterms:created>
  <dcterms:modified xsi:type="dcterms:W3CDTF">2021-04-26T13:40:50Z</dcterms:modified>
</cp:coreProperties>
</file>