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1\2021-09\"/>
    </mc:Choice>
  </mc:AlternateContent>
  <xr:revisionPtr revIDLastSave="0" documentId="13_ncr:1_{9C02B885-632D-425E-8D63-F789E4BD760D}" xr6:coauthVersionLast="45" xr6:coauthVersionMax="45" xr10:uidLastSave="{00000000-0000-0000-0000-000000000000}"/>
  <bookViews>
    <workbookView xWindow="-120" yWindow="-120" windowWidth="25440" windowHeight="15540" activeTab="2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Overview!$D$33</definedName>
    <definedName name="ANZAHL_SCHULDNER">Overview!$D$18</definedName>
    <definedName name="_xlnm.Print_Area" localSheetId="2">Ersatzdeckung!$A$1:$E$63</definedName>
    <definedName name="_xlnm.Print_Area" localSheetId="0">Overview!$A$1:$E$34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Overview!$D$33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2" l="1"/>
  <c r="H121" i="2"/>
  <c r="H120" i="2"/>
  <c r="H119" i="2"/>
  <c r="H118" i="2"/>
  <c r="D122" i="2"/>
  <c r="D121" i="2"/>
  <c r="D120" i="2"/>
  <c r="D119" i="2"/>
  <c r="D118" i="2"/>
  <c r="D106" i="2"/>
  <c r="D105" i="2"/>
  <c r="D104" i="2"/>
  <c r="D103" i="2"/>
  <c r="D102" i="2"/>
  <c r="G94" i="2"/>
  <c r="G93" i="2"/>
  <c r="G92" i="2"/>
  <c r="G91" i="2"/>
  <c r="G90" i="2"/>
  <c r="G89" i="2"/>
  <c r="G88" i="2"/>
  <c r="G82" i="2"/>
  <c r="G81" i="2"/>
  <c r="G80" i="2"/>
  <c r="G79" i="2"/>
  <c r="G78" i="2"/>
  <c r="G77" i="2"/>
  <c r="G76" i="2"/>
  <c r="G75" i="2"/>
  <c r="G74" i="2"/>
  <c r="G73" i="2"/>
  <c r="F82" i="2"/>
  <c r="F81" i="2"/>
  <c r="F80" i="2"/>
  <c r="F79" i="2"/>
  <c r="F78" i="2"/>
  <c r="F77" i="2"/>
  <c r="F76" i="2"/>
  <c r="F75" i="2"/>
  <c r="F74" i="2"/>
  <c r="F73" i="2"/>
  <c r="D30" i="1"/>
  <c r="D21" i="1" l="1"/>
  <c r="D20" i="1"/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C123" i="2"/>
  <c r="C107" i="2"/>
  <c r="F95" i="2"/>
  <c r="C83" i="2"/>
  <c r="C34" i="2"/>
  <c r="C69" i="2"/>
  <c r="D26" i="3" l="1"/>
  <c r="D53" i="2"/>
  <c r="D38" i="2"/>
  <c r="D47" i="2"/>
  <c r="D66" i="2"/>
  <c r="D50" i="2"/>
  <c r="D51" i="2"/>
  <c r="D35" i="2"/>
  <c r="D55" i="2"/>
  <c r="D57" i="2"/>
  <c r="D52" i="2"/>
  <c r="D42" i="2"/>
  <c r="D48" i="2"/>
  <c r="D67" i="2"/>
  <c r="D59" i="2"/>
  <c r="D65" i="2"/>
  <c r="D49" i="2"/>
  <c r="D68" i="2"/>
  <c r="D36" i="2"/>
  <c r="D39" i="2"/>
  <c r="D40" i="2"/>
  <c r="D41" i="2"/>
  <c r="D43" i="2"/>
  <c r="D44" i="2"/>
  <c r="D64" i="2"/>
  <c r="D60" i="2"/>
  <c r="D45" i="2"/>
  <c r="D61" i="2"/>
  <c r="D37" i="2"/>
  <c r="D54" i="2"/>
  <c r="D56" i="2"/>
  <c r="D58" i="2"/>
  <c r="D46" i="2"/>
  <c r="D62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G83" i="2"/>
  <c r="G95" i="2"/>
  <c r="D58" i="3"/>
  <c r="D57" i="3"/>
  <c r="D56" i="3"/>
  <c r="D69" i="2" l="1"/>
  <c r="D55" i="3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3" i="1"/>
  <c r="C21" i="1"/>
  <c r="C20" i="1"/>
  <c r="C13" i="1"/>
  <c r="C12" i="1"/>
  <c r="G103" i="5" l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<sst xmlns="http://schemas.openxmlformats.org/spreadsheetml/2006/main" count="636" uniqueCount="321">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</sst>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  <numFmt numFmtId="175" formatCode="#,##0.0000000,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9" fontId="2" fillId="4" borderId="12" xfId="1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75" fontId="0" fillId="0" borderId="0" xfId="0" applyNumberFormat="1" applyFill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631152764.05999994</c:v>
                </c:pt>
                <c:pt idx="1">
                  <c:v>1035154372.7</c:v>
                </c:pt>
                <c:pt idx="2">
                  <c:v>470131559.94999999</c:v>
                </c:pt>
                <c:pt idx="3">
                  <c:v>1097971603.0699999</c:v>
                </c:pt>
                <c:pt idx="4">
                  <c:v>1176706145.9510434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715497107.02097869</c:v>
                </c:pt>
                <c:pt idx="1">
                  <c:v>312287655.85045242</c:v>
                </c:pt>
                <c:pt idx="2">
                  <c:v>250498029.31</c:v>
                </c:pt>
                <c:pt idx="3">
                  <c:v>377320789.00999999</c:v>
                </c:pt>
                <c:pt idx="4">
                  <c:v>775490562.5084765</c:v>
                </c:pt>
                <c:pt idx="5">
                  <c:v>1980022302.0311358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36804686.158476397</c:v>
                </c:pt>
                <c:pt idx="1">
                  <c:v>140065798.11143121</c:v>
                </c:pt>
                <c:pt idx="2">
                  <c:v>218889549.12113571</c:v>
                </c:pt>
                <c:pt idx="3">
                  <c:v>786839301.91999996</c:v>
                </c:pt>
                <c:pt idx="4">
                  <c:v>3228517110.4200001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544830197.37</c:v>
                </c:pt>
                <c:pt idx="1">
                  <c:v>583150000</c:v>
                </c:pt>
                <c:pt idx="2">
                  <c:v>1118000000</c:v>
                </c:pt>
                <c:pt idx="3">
                  <c:v>952000000</c:v>
                </c:pt>
                <c:pt idx="4">
                  <c:v>424352789.19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631152764.05999994</c:v>
                </c:pt>
                <c:pt idx="1">
                  <c:v>1035154372.7</c:v>
                </c:pt>
                <c:pt idx="2">
                  <c:v>470131559.94999999</c:v>
                </c:pt>
                <c:pt idx="3">
                  <c:v>1097971603.0699999</c:v>
                </c:pt>
                <c:pt idx="4">
                  <c:v>1176706145.9510434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715497107.02097869</c:v>
                </c:pt>
                <c:pt idx="1">
                  <c:v>312287655.85045242</c:v>
                </c:pt>
                <c:pt idx="2">
                  <c:v>250498029.31</c:v>
                </c:pt>
                <c:pt idx="3">
                  <c:v>377320789.00999999</c:v>
                </c:pt>
                <c:pt idx="4">
                  <c:v>775490562.5084765</c:v>
                </c:pt>
                <c:pt idx="5">
                  <c:v>1980022302.0311358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36804686.158476397</c:v>
                </c:pt>
                <c:pt idx="1">
                  <c:v>140065798.11143121</c:v>
                </c:pt>
                <c:pt idx="2">
                  <c:v>218889549.12113571</c:v>
                </c:pt>
                <c:pt idx="3">
                  <c:v>786839301.91999996</c:v>
                </c:pt>
                <c:pt idx="4">
                  <c:v>3228517110.4200001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544830197.37</c:v>
                </c:pt>
                <c:pt idx="1">
                  <c:v>583150000</c:v>
                </c:pt>
                <c:pt idx="2">
                  <c:v>1118000000</c:v>
                </c:pt>
                <c:pt idx="3">
                  <c:v>952000000</c:v>
                </c:pt>
                <c:pt idx="4">
                  <c:v>424352789.19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21/2021-03/Pfandbriefforumsreport%20&#246;ffentlicher%20Pfandbrief%2031.03.2021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4324875674.9807816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zoomScaleNormal="100" workbookViewId="0">
      <selection activeCell="D33" sqref="D33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7" width="9.5703125" style="80" bestFit="1" customWidth="1"/>
    <col min="8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12" t="s">
        <v>315</v>
      </c>
      <c r="D1" s="212"/>
      <c r="E1" s="212"/>
      <c r="F1" s="161"/>
    </row>
    <row r="2" spans="1:6" x14ac:dyDescent="0.25">
      <c r="B2" s="80" t="str">
        <f>INDEX(Language!D2:M33,2,IF(A1="EN",1,6))</f>
        <v>Report Date</v>
      </c>
      <c r="D2" s="86">
        <v>44469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200">
        <v>0.14630564505861601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198">
        <v>3622332986.5599999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198">
        <v>4491793845.7310429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7" ht="16.5" customHeight="1" x14ac:dyDescent="0.25">
      <c r="B17" s="94" t="str">
        <f>INDEX(Language!D2:M33,17,IF(A1="EN",1,6))</f>
        <v>Number of loans</v>
      </c>
      <c r="C17" s="95"/>
      <c r="D17" s="199">
        <v>48747</v>
      </c>
      <c r="E17" s="94"/>
      <c r="F17" s="151"/>
    </row>
    <row r="18" spans="2:7" ht="16.5" customHeight="1" x14ac:dyDescent="0.25">
      <c r="B18" s="94" t="str">
        <f>INDEX(Language!D2:M33,18,IF(A1="EN",1,6))</f>
        <v>Number of borrowers</v>
      </c>
      <c r="C18" s="95"/>
      <c r="D18" s="199">
        <v>42559</v>
      </c>
      <c r="E18" s="94"/>
      <c r="F18" s="151"/>
    </row>
    <row r="19" spans="2:7" ht="16.5" customHeight="1" x14ac:dyDescent="0.25">
      <c r="B19" s="94" t="str">
        <f>INDEX(Language!D2:M33,19,IF(A1="EN",1,6))</f>
        <v>Number of garantors</v>
      </c>
      <c r="C19" s="95"/>
      <c r="D19" s="199">
        <v>98</v>
      </c>
      <c r="E19" s="94"/>
      <c r="F19" s="151"/>
    </row>
    <row r="20" spans="2:7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198">
        <f>IF(ANZAHL_SCHULDNER&gt;0,GESAMTBETRAG_DECKUNG/ANZAHL_SCHULDNER,"")</f>
        <v>105542.74878946974</v>
      </c>
      <c r="E20" s="94"/>
      <c r="F20" s="165"/>
      <c r="G20" s="244"/>
    </row>
    <row r="21" spans="2:7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198">
        <f>IF(ANZAHL_ASSETS&gt;0,GESAMTBETRAG_DECKUNG/ANZAHL_ASSETS,"")</f>
        <v>92145.031401543543</v>
      </c>
      <c r="E21" s="94"/>
      <c r="F21" s="165"/>
      <c r="G21" s="244"/>
    </row>
    <row r="22" spans="2:7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200">
        <v>0</v>
      </c>
      <c r="E22" s="94"/>
      <c r="F22" s="163"/>
    </row>
    <row r="23" spans="2:7" ht="16.5" customHeight="1" x14ac:dyDescent="0.25">
      <c r="B23" s="94" t="str">
        <f>INDEX(Language!D2:M33,23,IF(A1="EN",1,6))</f>
        <v>Share of 10 largest loans (% of primary cover pool)</v>
      </c>
      <c r="C23" s="95"/>
      <c r="D23" s="200">
        <v>0.16201891386287293</v>
      </c>
      <c r="E23" s="94"/>
      <c r="F23" s="163"/>
    </row>
    <row r="24" spans="2:7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200">
        <v>0.55016669565521348</v>
      </c>
      <c r="E24" s="94"/>
      <c r="F24" s="163"/>
    </row>
    <row r="25" spans="2:7" ht="16.5" customHeight="1" x14ac:dyDescent="0.25">
      <c r="B25" s="94" t="str">
        <f>INDEX(Language!D2:M33,25,IF(A1="EN",1,6))</f>
        <v>Share of bullet loans (% of primary cover pool)</v>
      </c>
      <c r="C25" s="95"/>
      <c r="D25" s="200">
        <v>5.9644200316070296E-2</v>
      </c>
      <c r="E25" s="94"/>
      <c r="F25" s="163"/>
    </row>
    <row r="26" spans="2:7" ht="16.5" customHeight="1" x14ac:dyDescent="0.25">
      <c r="B26" s="100" t="str">
        <f>INDEX(Language!D2:M33,26,IF(A1="EN",1,6))</f>
        <v>Share of loans in foreign currency (% of primary cover pool)</v>
      </c>
      <c r="C26" s="95"/>
      <c r="D26" s="200">
        <v>1.6792348785697821E-2</v>
      </c>
      <c r="E26" s="94"/>
      <c r="F26" s="163"/>
    </row>
    <row r="27" spans="2:7" ht="16.5" customHeight="1" x14ac:dyDescent="0.25">
      <c r="B27" s="94" t="str">
        <f>INDEX(Language!D2:M33,27,IF(A1="EN",1,6))</f>
        <v>Share of issues in foreign currency (% of primary cover pool)</v>
      </c>
      <c r="C27" s="95"/>
      <c r="D27" s="200">
        <v>0</v>
      </c>
      <c r="E27" s="94"/>
      <c r="F27" s="163"/>
    </row>
    <row r="28" spans="2:7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200">
        <v>0.521539185403878</v>
      </c>
      <c r="E28" s="94"/>
      <c r="F28" s="163"/>
    </row>
    <row r="29" spans="2:7" ht="16.5" customHeight="1" x14ac:dyDescent="0.25">
      <c r="B29" s="94" t="s">
        <v>320</v>
      </c>
      <c r="C29" s="95"/>
      <c r="D29" s="200">
        <v>0</v>
      </c>
      <c r="E29" s="94"/>
      <c r="F29" s="163"/>
    </row>
    <row r="30" spans="2:7" ht="16.5" customHeight="1" x14ac:dyDescent="0.25">
      <c r="B30" s="94" t="str">
        <f>INDEX(Language!D2:M33,29,IF(A1="EN",1,6))</f>
        <v>Nominal over-collateralisation (total cover pool / outstanding issues in %)</v>
      </c>
      <c r="C30" s="95"/>
      <c r="D30" s="200">
        <f>IF(ISERROR(GESAMTBETRAG_DECKUNG/GESAMTBETRAG_EMISSIONEN),"",GESAMTBETRAG_DECKUNG/GESAMTBETRAG_EMISSIONEN-1)</f>
        <v>0.24002786668067722</v>
      </c>
      <c r="E30" s="160"/>
      <c r="F30" s="163"/>
    </row>
    <row r="31" spans="2:7" ht="16.5" customHeight="1" x14ac:dyDescent="0.25">
      <c r="B31" s="94" t="str">
        <f>INDEX(Language!D2:M33,30,IF(A1="EN",1,6))</f>
        <v>Present value over-collateralisation (PV total cover pool / PV outstanding issues in %)</v>
      </c>
      <c r="C31" s="95"/>
      <c r="D31" s="200">
        <v>0.3977226695154244</v>
      </c>
      <c r="E31" s="94"/>
      <c r="F31" s="163"/>
    </row>
    <row r="32" spans="2:7" ht="16.5" customHeight="1" x14ac:dyDescent="0.25">
      <c r="B32" s="94" t="str">
        <f>INDEX(Language!D2:M33,31,IF(A1="EN",1,6))</f>
        <v>Number of issues</v>
      </c>
      <c r="C32" s="95"/>
      <c r="D32" s="199">
        <v>51</v>
      </c>
      <c r="E32" s="94"/>
      <c r="F32" s="151"/>
    </row>
    <row r="33" spans="2:6" ht="16.5" customHeight="1" x14ac:dyDescent="0.25">
      <c r="B33" s="94" t="str">
        <f>INDEX(Language!D2:M33,32,IF(A1="EN",1,6))</f>
        <v>Average issue size</v>
      </c>
      <c r="C33" s="95" t="str">
        <f>INDEX(Language!D2:M33,32,IF(A1="EN",2,7))</f>
        <v>in mn</v>
      </c>
      <c r="D33" s="208">
        <v>71026136.991372541</v>
      </c>
      <c r="E33" s="94"/>
      <c r="F33" s="166"/>
    </row>
  </sheetData>
  <mergeCells count="1">
    <mergeCell ref="C1:E1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Normal="100" zoomScalePageLayoutView="85" workbookViewId="0">
      <selection activeCell="H114" sqref="H114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1027784762.8714311</v>
      </c>
      <c r="D6" s="176">
        <f>SUM(D7:D8)</f>
        <v>47045</v>
      </c>
      <c r="I6" s="5"/>
    </row>
    <row r="7" spans="1:9" ht="15" x14ac:dyDescent="0.25">
      <c r="A7" s="57" t="s">
        <v>128</v>
      </c>
      <c r="B7" s="175" t="s">
        <v>123</v>
      </c>
      <c r="C7" s="201">
        <v>715497107.02097869</v>
      </c>
      <c r="D7" s="202">
        <v>45386</v>
      </c>
      <c r="I7" s="5"/>
    </row>
    <row r="8" spans="1:9" ht="15" x14ac:dyDescent="0.25">
      <c r="A8" s="57" t="s">
        <v>130</v>
      </c>
      <c r="B8" s="175" t="s">
        <v>124</v>
      </c>
      <c r="C8" s="201">
        <v>312287655.85045242</v>
      </c>
      <c r="D8" s="202">
        <v>1659</v>
      </c>
      <c r="I8" s="5"/>
    </row>
    <row r="9" spans="1:9" ht="15" x14ac:dyDescent="0.25">
      <c r="A9" s="57"/>
      <c r="B9" s="177" t="s">
        <v>27</v>
      </c>
      <c r="C9" s="103">
        <f>SUM(C10:C12)</f>
        <v>1403309380.8284764</v>
      </c>
      <c r="D9" s="176">
        <f>SUM(D10:D12)</f>
        <v>1593</v>
      </c>
      <c r="I9" s="5"/>
    </row>
    <row r="10" spans="1:9" ht="15" x14ac:dyDescent="0.25">
      <c r="A10" s="57" t="s">
        <v>131</v>
      </c>
      <c r="B10" s="177" t="s">
        <v>125</v>
      </c>
      <c r="C10" s="201">
        <v>250498029.31</v>
      </c>
      <c r="D10" s="202">
        <v>647</v>
      </c>
      <c r="I10" s="5"/>
    </row>
    <row r="11" spans="1:9" ht="15" x14ac:dyDescent="0.25">
      <c r="A11" s="57" t="s">
        <v>132</v>
      </c>
      <c r="B11" s="177" t="s">
        <v>126</v>
      </c>
      <c r="C11" s="201">
        <v>377320789.00999999</v>
      </c>
      <c r="D11" s="202">
        <v>552</v>
      </c>
      <c r="I11" s="5"/>
    </row>
    <row r="12" spans="1:9" ht="15" x14ac:dyDescent="0.25">
      <c r="A12" s="57" t="s">
        <v>133</v>
      </c>
      <c r="B12" s="177" t="s">
        <v>127</v>
      </c>
      <c r="C12" s="201">
        <v>775490562.5084765</v>
      </c>
      <c r="D12" s="202">
        <v>394</v>
      </c>
      <c r="I12" s="5"/>
    </row>
    <row r="13" spans="1:9" ht="15" x14ac:dyDescent="0.25">
      <c r="A13" s="57" t="s">
        <v>134</v>
      </c>
      <c r="B13" s="177" t="s">
        <v>29</v>
      </c>
      <c r="C13" s="201">
        <v>1980022302.0311358</v>
      </c>
      <c r="D13" s="202">
        <v>104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4411116445.7310429</v>
      </c>
      <c r="D14" s="181">
        <f>D13+D9+D6</f>
        <v>48742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203">
        <v>4337043439.8400002</v>
      </c>
      <c r="F23" s="7" t="str">
        <f>INDEX(Language!$D$2:$X$300,SUM(Language!AF23),IF(Overview!$A$1="EN",6,15))</f>
        <v>in EUR</v>
      </c>
      <c r="G23" s="8"/>
      <c r="H23" s="203">
        <v>3622332986.5599999</v>
      </c>
      <c r="I23" s="5"/>
    </row>
    <row r="24" spans="1:9" ht="15" x14ac:dyDescent="0.25">
      <c r="B24" s="102" t="s">
        <v>36</v>
      </c>
      <c r="C24" s="178"/>
      <c r="D24" s="203">
        <v>74073005.89104338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4411116445.7310438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3622332986.5599999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4411116445.7310429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201">
        <v>4391116445.7310429</v>
      </c>
      <c r="D35" s="104">
        <f>IF(($C$69=0),0,(C35/$C$69))</f>
        <v>0.99546600044545286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4.5339995545471143E-3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4411116445.7310429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25" t="str">
        <f>INDEX(Language!$D$2:$X$300,SUM(Language!AG72),IF(Overview!$A$1="EN",7,16))</f>
        <v>Share in total</v>
      </c>
      <c r="H72" s="226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201"/>
      <c r="D73" s="30"/>
      <c r="E73" s="30"/>
      <c r="F73" s="210">
        <f>IF(($C$83=0),0,(C73/$C$83))</f>
        <v>0</v>
      </c>
      <c r="G73" s="217">
        <f>IF(($C$69=0),0,(C73/$C$69))</f>
        <v>0</v>
      </c>
      <c r="H73" s="218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201">
        <v>325780990.07999998</v>
      </c>
      <c r="D74" s="30"/>
      <c r="E74" s="30"/>
      <c r="F74" s="210">
        <f t="shared" ref="F74:F81" si="1">IF(($C$83=0),0,(C74/$C$83))</f>
        <v>7.419092481519543E-2</v>
      </c>
      <c r="G74" s="217">
        <f t="shared" ref="G74:G81" si="2">IF(($C$69=0),0,(C74/$C$69))</f>
        <v>7.3854543195131891E-2</v>
      </c>
      <c r="H74" s="218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201">
        <v>3745349580.4596124</v>
      </c>
      <c r="D75" s="30"/>
      <c r="E75" s="30"/>
      <c r="F75" s="210">
        <f t="shared" si="1"/>
        <v>0.85293788646866053</v>
      </c>
      <c r="G75" s="217">
        <f t="shared" si="2"/>
        <v>0.84907066647135532</v>
      </c>
      <c r="H75" s="218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201">
        <v>92169846.680000007</v>
      </c>
      <c r="D76" s="30"/>
      <c r="E76" s="30"/>
      <c r="F76" s="210">
        <f t="shared" si="1"/>
        <v>2.0990071162791803E-2</v>
      </c>
      <c r="G76" s="217">
        <f t="shared" si="2"/>
        <v>2.0894902189489795E-2</v>
      </c>
      <c r="H76" s="218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201">
        <v>51900000</v>
      </c>
      <c r="D77" s="30"/>
      <c r="E77" s="30"/>
      <c r="F77" s="210">
        <f t="shared" si="1"/>
        <v>1.1819317624896093E-2</v>
      </c>
      <c r="G77" s="217">
        <f t="shared" si="2"/>
        <v>1.1765728844049762E-2</v>
      </c>
      <c r="H77" s="218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201">
        <v>7291.74</v>
      </c>
      <c r="D78" s="30"/>
      <c r="E78" s="30"/>
      <c r="F78" s="210">
        <f t="shared" si="1"/>
        <v>1.6605663024693608E-6</v>
      </c>
      <c r="G78" s="217">
        <f t="shared" si="2"/>
        <v>1.6530372955936688E-6</v>
      </c>
      <c r="H78" s="218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201">
        <v>44945051.57</v>
      </c>
      <c r="D79" s="30"/>
      <c r="E79" s="30"/>
      <c r="F79" s="210">
        <f t="shared" si="1"/>
        <v>1.0235449714319167E-2</v>
      </c>
      <c r="G79" s="217">
        <f t="shared" si="2"/>
        <v>1.0189042189873855E-2</v>
      </c>
      <c r="H79" s="218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201">
        <v>49090064.630000003</v>
      </c>
      <c r="D80" s="30"/>
      <c r="E80" s="30"/>
      <c r="F80" s="210">
        <f t="shared" si="1"/>
        <v>1.1179403970879524E-2</v>
      </c>
      <c r="G80" s="217">
        <f t="shared" si="2"/>
        <v>1.1128716558255454E-2</v>
      </c>
      <c r="H80" s="218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201">
        <v>62714259.850000001</v>
      </c>
      <c r="D81" s="30"/>
      <c r="E81" s="30"/>
      <c r="F81" s="210">
        <f t="shared" si="1"/>
        <v>1.4282076238485904E-2</v>
      </c>
      <c r="G81" s="217">
        <f t="shared" si="2"/>
        <v>1.42173213111826E-2</v>
      </c>
      <c r="H81" s="218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201">
        <v>19159360.721431199</v>
      </c>
      <c r="D82" s="30"/>
      <c r="E82" s="30"/>
      <c r="F82" s="210">
        <f>IF(($C$83=0),0,(C82/$C$83))</f>
        <v>4.3632094384692425E-3</v>
      </c>
      <c r="G82" s="217">
        <f>IF(($C$69=0),0,(C82/$C$69))</f>
        <v>4.3434266488188268E-3</v>
      </c>
      <c r="H82" s="218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4391116445.7310429</v>
      </c>
      <c r="D83" s="182"/>
      <c r="E83" s="182"/>
      <c r="F83" s="183">
        <f>SUM(F73:F82)</f>
        <v>1.0000000000000002</v>
      </c>
      <c r="G83" s="219">
        <f>SUM(G73:H82)</f>
        <v>0.99546600044545297</v>
      </c>
      <c r="H83" s="220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23" t="str">
        <f>INDEX(Language!$D$2:$X$300,SUM(Language!AG87),IF(Overview!$A$1="EN",7,16))</f>
        <v>%</v>
      </c>
      <c r="H87" s="224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201">
        <v>20000000</v>
      </c>
      <c r="G88" s="217">
        <f>IF(($F$95=0),0,(F88/$F$95))</f>
        <v>4.5339995545471143E-3</v>
      </c>
      <c r="H88" s="218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201">
        <v>1348214397.28</v>
      </c>
      <c r="G89" s="217">
        <f t="shared" ref="G89:G94" si="3">IF(($F$95=0),0,(F89/$F$95))</f>
        <v>0.3056401738350763</v>
      </c>
      <c r="H89" s="218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201">
        <v>436723123.4099077</v>
      </c>
      <c r="G90" s="217">
        <f t="shared" si="3"/>
        <v>9.9005122350047298E-2</v>
      </c>
      <c r="H90" s="218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201">
        <v>11504163</v>
      </c>
      <c r="G91" s="217">
        <f t="shared" si="3"/>
        <v>2.6079934958718699E-3</v>
      </c>
      <c r="H91" s="218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201">
        <v>2253055664.7082181</v>
      </c>
      <c r="G92" s="217">
        <f t="shared" si="3"/>
        <v>0.51076766900784576</v>
      </c>
      <c r="H92" s="218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201">
        <v>197141649.68000001</v>
      </c>
      <c r="G93" s="217">
        <f t="shared" si="3"/>
        <v>4.4692007591590165E-2</v>
      </c>
      <c r="H93" s="218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201">
        <v>144477447.65291783</v>
      </c>
      <c r="G94" s="217">
        <f t="shared" si="3"/>
        <v>3.2753034165021677E-2</v>
      </c>
      <c r="H94" s="218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4411116445.7310429</v>
      </c>
      <c r="G95" s="219">
        <f>SUM(G88:H94)</f>
        <v>1.0000000000000002</v>
      </c>
      <c r="H95" s="220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21">
        <v>6.7555857140000004</v>
      </c>
      <c r="H99" s="222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201">
        <v>631152764.05999994</v>
      </c>
      <c r="D102" s="211">
        <f>IF(($C$107=0),0,(C102/$C$107))</f>
        <v>0.14308231755496101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201">
        <v>1035154372.7</v>
      </c>
      <c r="D103" s="211">
        <f>IF(($C$107=0),0,(C103/$C$107))</f>
        <v>0.23466947323546491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201">
        <v>470131559.94999999</v>
      </c>
      <c r="D104" s="211">
        <f>IF(($C$107=0),0,(C104/$C$107))</f>
        <v>0.106578814169592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201">
        <v>1097971603.0699999</v>
      </c>
      <c r="D105" s="211">
        <f>IF(($C$107=0),0,(C105/$C$107))</f>
        <v>0.24891013796123806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201">
        <v>1176706145.9510434</v>
      </c>
      <c r="D106" s="211">
        <f>IF(($C$107=0),0,(C106/$C$107))</f>
        <v>0.26675925707874415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4411116445.7310429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15" t="str">
        <f>INDEX(Language!$D$2:$X$300,SUM(Language!AB112),IF(Overview!$A$1="EN",2,11))</f>
        <v>WA residual life (incl. contractural amortisation)</v>
      </c>
      <c r="C112" s="216"/>
      <c r="D112" s="216"/>
      <c r="E112" s="132"/>
      <c r="F112" s="132"/>
      <c r="G112" s="132"/>
      <c r="H112" s="204">
        <v>9.9561115299999994</v>
      </c>
      <c r="I112" s="5"/>
    </row>
    <row r="113" spans="2:9" ht="15" x14ac:dyDescent="0.25">
      <c r="B113" s="213" t="str">
        <f>INDEX(Language!$D$2:$X$300,SUM(Language!AB113),IF(Overview!$A$1="EN",2,11))</f>
        <v>WA residual life (final legal maturity)</v>
      </c>
      <c r="C113" s="214"/>
      <c r="D113" s="214"/>
      <c r="E113" s="132"/>
      <c r="F113" s="132"/>
      <c r="G113" s="132"/>
      <c r="H113" s="204">
        <v>16.185752000000001</v>
      </c>
      <c r="I113" s="5"/>
    </row>
    <row r="114" spans="2:9" ht="15" customHeight="1" x14ac:dyDescent="0.25">
      <c r="B114" s="215" t="str">
        <f>INDEX(Language!$D$2:$X$300,SUM(Language!AB114),IF(Overview!$A$1="EN",2,11))</f>
        <v>WA residual life of issues (final legal maturity)</v>
      </c>
      <c r="C114" s="216"/>
      <c r="D114" s="216"/>
      <c r="E114" s="130"/>
      <c r="F114" s="130"/>
      <c r="G114" s="130"/>
      <c r="H114" s="204">
        <v>5.6964375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201">
        <v>36804686.158476397</v>
      </c>
      <c r="D118" s="211">
        <f>IF(($C$123=0),0,(C118/$C$123))</f>
        <v>8.3436215323889167E-3</v>
      </c>
      <c r="F118" s="7" t="str">
        <f>INDEX(Language!$D$2:$X$300,SUM(Language!AF118),IF(Overview!$A$1="EN",6,15))</f>
        <v>≤ 12 months</v>
      </c>
      <c r="G118" s="201">
        <v>544830197.37</v>
      </c>
      <c r="H118" s="211">
        <f>IF(($G$123=0),0,(G118/$G$123))</f>
        <v>0.15040864530994036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201">
        <v>140065798.11143121</v>
      </c>
      <c r="D119" s="211">
        <f>IF(($C$123=0),0,(C119/$C$123))</f>
        <v>3.175291331222576E-2</v>
      </c>
      <c r="F119" s="7" t="str">
        <f>INDEX(Language!$D$2:$X$300,SUM(Language!AF119),IF(Overview!$A$1="EN",6,15))</f>
        <v>12 - 36 months</v>
      </c>
      <c r="G119" s="201">
        <v>583150000</v>
      </c>
      <c r="H119" s="211">
        <f>IF(($G$123=0),0,(G119/$G$123))</f>
        <v>0.16098740843640572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201">
        <v>218889549.12113571</v>
      </c>
      <c r="D120" s="211">
        <f>IF(($C$123=0),0,(C120/$C$123))</f>
        <v>4.9622255910512406E-2</v>
      </c>
      <c r="F120" s="7" t="str">
        <f>INDEX(Language!$D$2:$X$300,SUM(Language!AF120),IF(Overview!$A$1="EN",6,15))</f>
        <v>36 - 60 months</v>
      </c>
      <c r="G120" s="201">
        <v>1118000000</v>
      </c>
      <c r="H120" s="211">
        <f>IF(($G$123=0),0,(G120/$G$123))</f>
        <v>0.30864086878487795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201">
        <v>786839301.91999996</v>
      </c>
      <c r="D121" s="211">
        <f>IF(($C$123=0),0,(C121/$C$123))</f>
        <v>0.17837645222027212</v>
      </c>
      <c r="F121" s="7" t="str">
        <f>INDEX(Language!$D$2:$X$300,SUM(Language!AF121),IF(Overview!$A$1="EN",6,15))</f>
        <v>60 - 120 months</v>
      </c>
      <c r="G121" s="201">
        <v>952000000</v>
      </c>
      <c r="H121" s="211">
        <f>IF(($G$123=0),0,(G121/$G$123))</f>
        <v>0.26281404926941304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201">
        <v>3228517110.4200001</v>
      </c>
      <c r="D122" s="211">
        <f>IF(($C$123=0),0,(C122/$C$123))</f>
        <v>0.73190475702460089</v>
      </c>
      <c r="F122" s="7" t="str">
        <f>INDEX(Language!$D$2:$X$300,SUM(Language!AF122),IF(Overview!$A$1="EN",6,15))</f>
        <v>≥ 120 months</v>
      </c>
      <c r="G122" s="201">
        <v>424352789.19</v>
      </c>
      <c r="H122" s="211">
        <f>IF(($G$123=0),0,(G122/$G$123))</f>
        <v>0.11714902819936293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4411116445.7310429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3622332986.5599999</v>
      </c>
      <c r="H123" s="172">
        <f>SUM(H118:H122)</f>
        <v>0.99999999999999989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203">
        <v>2110546367.9028256</v>
      </c>
      <c r="F145" s="7" t="str">
        <f>INDEX(Language!$D$2:$X$300,SUM(Language!AF145),IF(Overview!$A$1="EN",6,15))</f>
        <v>Variable, fixed rate during the year</v>
      </c>
      <c r="G145" s="8"/>
      <c r="H145" s="203">
        <v>567480197.37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203">
        <v>57980949.280000001</v>
      </c>
      <c r="F146" s="7" t="str">
        <f>INDEX(Language!$D$2:$X$300,SUM(Language!AF146),IF(Overview!$A$1="EN",6,15))</f>
        <v>Fixed rate, 1 - 2 years</v>
      </c>
      <c r="G146" s="8"/>
      <c r="H146" s="203">
        <v>560500000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203">
        <v>141332455.44821793</v>
      </c>
      <c r="F147" s="7" t="str">
        <f>INDEX(Language!$D$2:$X$300,SUM(Language!AF147),IF(Overview!$A$1="EN",6,15))</f>
        <v>Fixed rate, 2 - 5 years</v>
      </c>
      <c r="G147" s="8"/>
      <c r="H147" s="203">
        <v>638000000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203">
        <v>2101256673.0999999</v>
      </c>
      <c r="F148" s="7" t="str">
        <f>INDEX(Language!$D$2:$X$300,SUM(Language!AF148),IF(Overview!$A$1="EN",6,15))</f>
        <v>Fixed rate, &gt; 5 years</v>
      </c>
      <c r="G148" s="8"/>
      <c r="H148" s="203">
        <v>1856352789.1900001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4">
        <f>SUM(D145:D148)</f>
        <v>4411116445.7310429</v>
      </c>
      <c r="F149" s="12" t="str">
        <f>INDEX(Language!$D$2:$X$300,SUM(Language!AF149),IF(Overview!$A$1="EN",6,15))</f>
        <v>Total</v>
      </c>
      <c r="G149" s="23"/>
      <c r="H149" s="184">
        <f>SUM(H145:H148)</f>
        <v>3622332986.5599999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abSelected="1" zoomScaleNormal="100" workbookViewId="0">
      <selection activeCell="B32" sqref="B32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6" t="str">
        <f>INDEX([2]Language!$D$2:$X$300,SUM([2]Language!AB207),IF([2]Overview!$A$1="EN",3,11))</f>
        <v>Overview</v>
      </c>
      <c r="C4" s="187"/>
      <c r="D4" s="186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5">
        <v>80677400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5">
        <v>80677400</v>
      </c>
    </row>
    <row r="8" spans="1:5" x14ac:dyDescent="0.25">
      <c r="B8" s="188" t="str">
        <f>INDEX([2]Language!$D$2:$X$300,SUM([2]Language!AB211),IF([2]Overview!$A$1="EN",3,11))</f>
        <v>Total</v>
      </c>
      <c r="C8" s="188"/>
      <c r="D8" s="185">
        <f>SUM(D5:D6)</f>
        <v>80677400</v>
      </c>
    </row>
    <row r="9" spans="1:5" x14ac:dyDescent="0.25">
      <c r="B9" s="188" t="str">
        <f>INDEX([2]Language!$D$2:$X$300,SUM([2]Language!AB212),IF([2]Overview!$A$1="EN",3,11))</f>
        <v>Additional cover pool (in % of total issues)</v>
      </c>
      <c r="C9" s="188"/>
      <c r="D9" s="209">
        <f>D8/[3]Primärdeckung!$C$14</f>
        <v>1.865427033353011E-2</v>
      </c>
      <c r="E9" s="80"/>
    </row>
    <row r="11" spans="1:5" x14ac:dyDescent="0.25">
      <c r="B11" s="186" t="str">
        <f>INDEX([2]Language!$D$2:$X$300,SUM([2]Language!AB214),IF([2]Overview!$A$1="EN",3,11))</f>
        <v>Bonds by volume</v>
      </c>
      <c r="C11" s="187" t="str">
        <f>INDEX([2]Language!$D$2:$X$300,SUM([2]Language!AC214),IF([2]Overview!$A$1="EN",4,12))</f>
        <v>volume</v>
      </c>
      <c r="D11" s="189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206"/>
      <c r="D12" s="207"/>
    </row>
    <row r="13" spans="1:5" x14ac:dyDescent="0.25">
      <c r="B13" s="38" t="str">
        <f>INDEX([2]Language!$D$2:$X$300,SUM([2]Language!AB216),IF([2]Overview!$A$1="EN",3,11))</f>
        <v>1.000.000 - 5.000.000</v>
      </c>
      <c r="C13" s="206">
        <v>4987000</v>
      </c>
      <c r="D13" s="207">
        <v>1</v>
      </c>
    </row>
    <row r="14" spans="1:5" x14ac:dyDescent="0.25">
      <c r="B14" s="38" t="str">
        <f>INDEX([2]Language!$D$2:$X$300,SUM([2]Language!AB217),IF([2]Overview!$A$1="EN",3,11))</f>
        <v>≥ 5.000.000</v>
      </c>
      <c r="C14" s="206">
        <v>75690400</v>
      </c>
      <c r="D14" s="207">
        <v>4</v>
      </c>
    </row>
    <row r="15" spans="1:5" x14ac:dyDescent="0.25">
      <c r="B15" s="188" t="str">
        <f>INDEX([2]Language!$D$2:$X$300,SUM([2]Language!AB218),IF([2]Overview!$A$1="EN",3,11))</f>
        <v>Total</v>
      </c>
      <c r="C15" s="190">
        <f>SUM(C12:C14)</f>
        <v>80677400</v>
      </c>
      <c r="D15" s="191">
        <f>SUM(D12:D14)</f>
        <v>5</v>
      </c>
    </row>
    <row r="17" spans="2:4" x14ac:dyDescent="0.25">
      <c r="B17" s="186" t="str">
        <f>INDEX([2]Language!$D$2:$X$300,SUM([2]Language!AB220),IF([2]Overview!$A$1="EN",3,11))</f>
        <v>Additional cover pool by currencies</v>
      </c>
      <c r="C17" s="187" t="str">
        <f>INDEX([2]Language!$D$2:$X$300,SUM([2]Language!AC220),IF([2]Overview!$A$1="EN",4,12))</f>
        <v>volume</v>
      </c>
      <c r="D17" s="189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6">
        <v>80677400</v>
      </c>
      <c r="D18" s="193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3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3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3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3">
        <f>IF(($C$23=0),0,(C22/$C$23))</f>
        <v>0</v>
      </c>
    </row>
    <row r="23" spans="2:4" x14ac:dyDescent="0.25">
      <c r="B23" s="188" t="str">
        <f>INDEX([2]Language!$D$2:$X$300,SUM([2]Language!AB226),IF([2]Overview!$A$1="EN",3,11))</f>
        <v>Total</v>
      </c>
      <c r="C23" s="190">
        <f>SUM(C18:C22)</f>
        <v>80677400</v>
      </c>
      <c r="D23" s="192">
        <f>SUM(D18:D22)</f>
        <v>1</v>
      </c>
    </row>
    <row r="25" spans="2:4" x14ac:dyDescent="0.25">
      <c r="B25" s="186" t="str">
        <f>INDEX([2]Language!$D$2:$X$300,SUM([2]Language!AB228),IF([2]Overview!$A$1="EN",3,11))</f>
        <v>Regional distribution of additional cover pool</v>
      </c>
      <c r="C25" s="187" t="str">
        <f>INDEX([2]Language!$D$2:$X$300,SUM([2]Language!AC228),IF([2]Overview!$A$1="EN",4,12))</f>
        <v>Volumen</v>
      </c>
      <c r="D25" s="189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4">
        <f>SUM(C27:C54)</f>
        <v>80677400</v>
      </c>
      <c r="D26" s="195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6">
        <v>70677400</v>
      </c>
      <c r="D27" s="196">
        <f>IF(($C$61=0),0,(C27/$C$61))</f>
        <v>0.87604955043171939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6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6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6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6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206"/>
      <c r="D32" s="196">
        <f t="shared" si="0"/>
        <v>0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6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6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6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6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6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6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6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6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6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6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6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6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6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10000000</v>
      </c>
      <c r="D46" s="196">
        <f t="shared" si="0"/>
        <v>0.12395044956828058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6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6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197"/>
      <c r="D49" s="196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6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6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6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6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6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4">
        <f>SUM(C56:C58)</f>
        <v>0</v>
      </c>
      <c r="D55" s="195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5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5">
        <f>IF(($C$61=0),0,(C60/$C$61))</f>
        <v>0</v>
      </c>
    </row>
    <row r="61" spans="2:4" x14ac:dyDescent="0.25">
      <c r="B61" s="186" t="str">
        <f>INDEX([2]Language!$D$2:$X$300,SUM([2]Language!AB264),IF([2]Overview!$A$1="EN",3,11))</f>
        <v>Total</v>
      </c>
      <c r="C61" s="190">
        <f>C26+C55+C59+C60</f>
        <v>80677400</v>
      </c>
      <c r="D61" s="192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39" t="s">
        <v>169</v>
      </c>
      <c r="F2" s="239"/>
      <c r="G2" s="239"/>
      <c r="H2" s="84"/>
      <c r="I2" s="84" t="s">
        <v>0</v>
      </c>
      <c r="J2" s="212" t="s">
        <v>169</v>
      </c>
      <c r="K2" s="212"/>
      <c r="L2" s="212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25" t="s">
        <v>266</v>
      </c>
      <c r="K106" s="226"/>
      <c r="M106" s="2"/>
      <c r="N106" s="18"/>
      <c r="O106" s="19" t="s">
        <v>24</v>
      </c>
      <c r="P106" s="22"/>
      <c r="Q106" s="22"/>
      <c r="R106" s="19" t="s">
        <v>80</v>
      </c>
      <c r="S106" s="225" t="s">
        <v>117</v>
      </c>
      <c r="T106" s="226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35">
        <f>IF(($C$69=0),0,(F107/$C$69))</f>
        <v>0</v>
      </c>
      <c r="K107" s="236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35">
        <f>IF(($C$69=0),0,(O107/$C$69))</f>
        <v>0</v>
      </c>
      <c r="T107" s="236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35">
        <f t="shared" ref="J108:J114" si="5">IF(($C$69=0),0,(F108/$C$69))</f>
        <v>0</v>
      </c>
      <c r="K108" s="236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35">
        <f t="shared" ref="S108:S115" si="7">IF(($C$69=0),0,(O108/$C$69))</f>
        <v>0</v>
      </c>
      <c r="T108" s="236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35">
        <f t="shared" si="5"/>
        <v>0</v>
      </c>
      <c r="K109" s="236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35">
        <f t="shared" si="7"/>
        <v>0</v>
      </c>
      <c r="T109" s="236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35">
        <f t="shared" si="5"/>
        <v>0</v>
      </c>
      <c r="K110" s="236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35">
        <f t="shared" si="7"/>
        <v>0</v>
      </c>
      <c r="T110" s="236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35">
        <f t="shared" si="5"/>
        <v>0</v>
      </c>
      <c r="K111" s="236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35">
        <f t="shared" si="7"/>
        <v>0</v>
      </c>
      <c r="T111" s="236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35">
        <f t="shared" si="5"/>
        <v>0</v>
      </c>
      <c r="K112" s="236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35">
        <f t="shared" si="7"/>
        <v>0</v>
      </c>
      <c r="T112" s="236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35">
        <f t="shared" si="5"/>
        <v>0</v>
      </c>
      <c r="K113" s="236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35">
        <f t="shared" si="7"/>
        <v>0</v>
      </c>
      <c r="T113" s="236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35">
        <f t="shared" si="5"/>
        <v>0</v>
      </c>
      <c r="K114" s="236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35">
        <f t="shared" si="7"/>
        <v>0</v>
      </c>
      <c r="T114" s="236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35">
        <f>IF(($C$69=0),0,(F115/$C$69))</f>
        <v>0</v>
      </c>
      <c r="K115" s="236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35">
        <f t="shared" si="7"/>
        <v>0</v>
      </c>
      <c r="T115" s="236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35">
        <f>IF(($C$69=0),0,(F116/$C$69))</f>
        <v>0</v>
      </c>
      <c r="K116" s="236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35">
        <f>IF(($C$69=0),0,(O116/$C$69))</f>
        <v>0</v>
      </c>
      <c r="T116" s="236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9">
        <f>SUM(J107:K116)</f>
        <v>0</v>
      </c>
      <c r="K117" s="230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9">
        <f>SUM(S107:T116)</f>
        <v>0</v>
      </c>
      <c r="T117" s="230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27" t="s">
        <v>274</v>
      </c>
      <c r="F121" s="228"/>
      <c r="G121" s="119"/>
      <c r="H121" s="119"/>
      <c r="I121" s="119" t="s">
        <v>217</v>
      </c>
      <c r="J121" s="223" t="s">
        <v>41</v>
      </c>
      <c r="K121" s="224"/>
      <c r="M121" s="2"/>
      <c r="N121" s="227" t="s">
        <v>160</v>
      </c>
      <c r="O121" s="228"/>
      <c r="P121" s="127"/>
      <c r="Q121" s="127"/>
      <c r="R121" s="127" t="s">
        <v>24</v>
      </c>
      <c r="S121" s="223" t="s">
        <v>41</v>
      </c>
      <c r="T121" s="224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40" t="s">
        <v>275</v>
      </c>
      <c r="F122" s="241"/>
      <c r="G122" s="8"/>
      <c r="H122" s="8"/>
      <c r="I122" s="67">
        <v>20000000</v>
      </c>
      <c r="J122" s="235">
        <f>IF(($F$95=0),0,(I122/$F$95))</f>
        <v>1</v>
      </c>
      <c r="K122" s="236"/>
      <c r="M122" s="2"/>
      <c r="N122" s="233" t="s">
        <v>158</v>
      </c>
      <c r="O122" s="234"/>
      <c r="P122" s="8"/>
      <c r="Q122" s="8"/>
      <c r="R122" s="67">
        <v>9999999999</v>
      </c>
      <c r="S122" s="235">
        <f>IF(($F$95=0),0,(R122/$F$95))</f>
        <v>499.99999995000002</v>
      </c>
      <c r="T122" s="236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42" t="s">
        <v>276</v>
      </c>
      <c r="F123" s="243"/>
      <c r="G123" s="8"/>
      <c r="H123" s="8"/>
      <c r="I123" s="67">
        <v>20000000</v>
      </c>
      <c r="J123" s="235">
        <f>IF(($F$95=0),0,(I123/$F$95))</f>
        <v>1</v>
      </c>
      <c r="K123" s="236"/>
      <c r="M123" s="2"/>
      <c r="N123" s="233" t="s">
        <v>155</v>
      </c>
      <c r="O123" s="234"/>
      <c r="P123" s="8"/>
      <c r="Q123" s="8"/>
      <c r="R123" s="67">
        <v>0</v>
      </c>
      <c r="S123" s="235">
        <f t="shared" ref="S123:S128" si="8">IF(($F$95=0),0,(R123/$F$95))</f>
        <v>0</v>
      </c>
      <c r="T123" s="236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42" t="s">
        <v>277</v>
      </c>
      <c r="F124" s="243"/>
      <c r="G124" s="8"/>
      <c r="H124" s="8"/>
      <c r="I124" s="67">
        <v>20000000</v>
      </c>
      <c r="J124" s="235">
        <f t="shared" ref="J124:J128" si="9">IF(($F$95=0),0,(I124/$F$95))</f>
        <v>1</v>
      </c>
      <c r="K124" s="236"/>
      <c r="M124" s="2"/>
      <c r="N124" s="237" t="s">
        <v>154</v>
      </c>
      <c r="O124" s="238"/>
      <c r="P124" s="8"/>
      <c r="Q124" s="8"/>
      <c r="R124" s="67">
        <v>0</v>
      </c>
      <c r="S124" s="235">
        <f t="shared" si="8"/>
        <v>0</v>
      </c>
      <c r="T124" s="236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42" t="s">
        <v>278</v>
      </c>
      <c r="F125" s="243"/>
      <c r="G125" s="8"/>
      <c r="H125" s="8"/>
      <c r="I125" s="67">
        <v>20000000</v>
      </c>
      <c r="J125" s="235">
        <f t="shared" si="9"/>
        <v>1</v>
      </c>
      <c r="K125" s="236"/>
      <c r="M125" s="2"/>
      <c r="N125" s="233" t="s">
        <v>157</v>
      </c>
      <c r="O125" s="234"/>
      <c r="P125" s="8"/>
      <c r="Q125" s="8"/>
      <c r="R125" s="67">
        <v>9999999999</v>
      </c>
      <c r="S125" s="235">
        <f t="shared" si="8"/>
        <v>499.99999995000002</v>
      </c>
      <c r="T125" s="236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42" t="s">
        <v>279</v>
      </c>
      <c r="F126" s="243"/>
      <c r="G126" s="8"/>
      <c r="H126" s="8"/>
      <c r="I126" s="67">
        <v>20000000</v>
      </c>
      <c r="J126" s="235">
        <f t="shared" si="9"/>
        <v>1</v>
      </c>
      <c r="K126" s="236"/>
      <c r="M126" s="2"/>
      <c r="N126" s="233" t="s">
        <v>156</v>
      </c>
      <c r="O126" s="234"/>
      <c r="P126" s="8"/>
      <c r="Q126" s="8"/>
      <c r="R126" s="67">
        <v>559101638.75</v>
      </c>
      <c r="S126" s="235">
        <f t="shared" si="8"/>
        <v>27.955081937500001</v>
      </c>
      <c r="T126" s="236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42" t="s">
        <v>280</v>
      </c>
      <c r="F127" s="243"/>
      <c r="G127" s="8"/>
      <c r="H127" s="8"/>
      <c r="I127" s="67">
        <v>20000000</v>
      </c>
      <c r="J127" s="235">
        <f t="shared" si="9"/>
        <v>1</v>
      </c>
      <c r="K127" s="236"/>
      <c r="M127" s="2"/>
      <c r="N127" s="233" t="s">
        <v>159</v>
      </c>
      <c r="O127" s="234"/>
      <c r="P127" s="8"/>
      <c r="Q127" s="8"/>
      <c r="R127" s="67">
        <v>442366849.20999998</v>
      </c>
      <c r="S127" s="235">
        <f t="shared" si="8"/>
        <v>22.118342460499999</v>
      </c>
      <c r="T127" s="236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42" t="s">
        <v>281</v>
      </c>
      <c r="F128" s="243"/>
      <c r="G128" s="8"/>
      <c r="H128" s="8"/>
      <c r="I128" s="67">
        <v>20000000</v>
      </c>
      <c r="J128" s="235">
        <f t="shared" si="9"/>
        <v>1</v>
      </c>
      <c r="K128" s="236"/>
      <c r="M128" s="2"/>
      <c r="N128" s="233" t="s">
        <v>168</v>
      </c>
      <c r="O128" s="234"/>
      <c r="P128" s="8"/>
      <c r="Q128" s="8"/>
      <c r="R128" s="67">
        <v>2333333</v>
      </c>
      <c r="S128" s="235">
        <f t="shared" si="8"/>
        <v>0.11666665</v>
      </c>
      <c r="T128" s="236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27" t="s">
        <v>224</v>
      </c>
      <c r="F129" s="228"/>
      <c r="G129" s="23"/>
      <c r="H129" s="23"/>
      <c r="I129" s="72">
        <f>SUM(I122:I128)</f>
        <v>140000000</v>
      </c>
      <c r="J129" s="229">
        <f>SUM(J122:K128)</f>
        <v>7</v>
      </c>
      <c r="K129" s="230"/>
      <c r="M129" s="2"/>
      <c r="N129" s="227" t="s">
        <v>30</v>
      </c>
      <c r="O129" s="228"/>
      <c r="P129" s="23"/>
      <c r="Q129" s="23"/>
      <c r="R129" s="72">
        <f>SUM(R122:R128)</f>
        <v>21003801818.959999</v>
      </c>
      <c r="S129" s="229">
        <f>SUM(S122:T128)</f>
        <v>1050.190090948</v>
      </c>
      <c r="T129" s="230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31">
        <v>5</v>
      </c>
      <c r="K133" s="232"/>
      <c r="M133" s="2"/>
      <c r="N133" s="32" t="s">
        <v>177</v>
      </c>
      <c r="O133" s="33"/>
      <c r="P133" s="33"/>
      <c r="Q133" s="33"/>
      <c r="R133" s="33"/>
      <c r="S133" s="231">
        <v>5</v>
      </c>
      <c r="T133" s="232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37" t="s">
        <v>290</v>
      </c>
      <c r="F146" s="234"/>
      <c r="G146" s="234"/>
      <c r="H146" s="234"/>
      <c r="I146" s="234"/>
      <c r="J146" s="234"/>
      <c r="K146" s="133">
        <v>5</v>
      </c>
      <c r="M146" s="2"/>
      <c r="N146" s="215" t="s">
        <v>172</v>
      </c>
      <c r="O146" s="214"/>
      <c r="P146" s="214"/>
      <c r="Q146" s="214"/>
      <c r="R146" s="214"/>
      <c r="S146" s="214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37" t="s">
        <v>291</v>
      </c>
      <c r="F147" s="234"/>
      <c r="G147" s="234"/>
      <c r="H147" s="234"/>
      <c r="I147" s="234"/>
      <c r="J147" s="234"/>
      <c r="K147" s="133">
        <v>5</v>
      </c>
      <c r="M147" s="2"/>
      <c r="N147" s="213" t="s">
        <v>173</v>
      </c>
      <c r="O147" s="214"/>
      <c r="P147" s="214"/>
      <c r="Q147" s="214"/>
      <c r="R147" s="214"/>
      <c r="S147" s="214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37" t="s">
        <v>292</v>
      </c>
      <c r="F148" s="234"/>
      <c r="G148" s="234"/>
      <c r="H148" s="234"/>
      <c r="I148" s="234"/>
      <c r="J148" s="234"/>
      <c r="K148" s="133">
        <v>5</v>
      </c>
      <c r="M148" s="2"/>
      <c r="N148" s="215" t="s">
        <v>146</v>
      </c>
      <c r="O148" s="216"/>
      <c r="P148" s="216"/>
      <c r="Q148" s="216"/>
      <c r="R148" s="216"/>
      <c r="S148" s="216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2021-10-18T15:04:37Z</dcterms:modified>
</cp:coreProperties>
</file>