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2551\Liquiditätsmanagement\Funding\Deckungsstöcke\Reporting für Pfandbrief-Forum und Treuhänder\2021\2021-12\"/>
    </mc:Choice>
  </mc:AlternateContent>
  <xr:revisionPtr revIDLastSave="0" documentId="8_{104C0644-84C5-4F13-A30A-04ADEAE50717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  <externalReference r:id="rId6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0">Overview!$A$1:$E$35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C55" i="3"/>
  <c r="D8" i="3"/>
  <c r="D9" i="3" s="1"/>
  <c r="D14" i="2"/>
  <c r="C14" i="2"/>
  <c r="H200" i="2" l="1"/>
  <c r="C26" i="3" l="1"/>
  <c r="C17" i="3" l="1"/>
  <c r="C25" i="3"/>
  <c r="B40" i="3" l="1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F130" i="2" l="1"/>
  <c r="C99" i="2"/>
  <c r="D28" i="3"/>
  <c r="C23" i="3"/>
  <c r="D18" i="3" s="1"/>
  <c r="C15" i="3"/>
  <c r="D15" i="3"/>
  <c r="D37" i="3" l="1"/>
  <c r="D36" i="3"/>
  <c r="D27" i="3"/>
  <c r="G129" i="2"/>
  <c r="G125" i="2"/>
  <c r="G128" i="2"/>
  <c r="G124" i="2"/>
  <c r="G121" i="2"/>
  <c r="G119" i="2"/>
  <c r="G118" i="2" s="1"/>
  <c r="G127" i="2"/>
  <c r="G123" i="2"/>
  <c r="G120" i="2"/>
  <c r="G126" i="2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G122" i="2" l="1"/>
  <c r="D64" i="2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7" i="1"/>
  <c r="B36" i="1"/>
  <c r="B34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D23" i="3" l="1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3" i="3"/>
  <c r="D29" i="3"/>
  <c r="D52" i="3"/>
  <c r="D48" i="3"/>
  <c r="D44" i="3"/>
  <c r="D40" i="3"/>
  <c r="D32" i="3"/>
  <c r="D51" i="3"/>
  <c r="D43" i="3"/>
  <c r="D39" i="3"/>
  <c r="D35" i="3"/>
  <c r="D31" i="3"/>
  <c r="J167" i="5"/>
  <c r="S167" i="5"/>
  <c r="D26" i="3" l="1"/>
  <c r="D55" i="3"/>
  <c r="C21" i="1"/>
  <c r="C20" i="1"/>
  <c r="C13" i="1"/>
  <c r="C12" i="1"/>
  <c r="D61" i="3" l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<sst xmlns="http://schemas.openxmlformats.org/spreadsheetml/2006/main" count="789" uniqueCount="372">
  <si>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</si>
  <si>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</si>
  <si>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</si>
  <si>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</si>
  <si>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</si>
  <si>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</si>
  <si>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</si>
  <si>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</si>
  <si>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</si>
  <si>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</si>
  <si>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</si>
  <si>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</si>
  <si>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</si>
  <si>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</si>
  <si>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</si>
  <si>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</si>
  <si>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</si>
  <si>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</si>
  <si>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</si>
  <si>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</si>
  <si>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</si>
  <si>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</si>
  <si>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</si>
  <si>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</si>
  <si>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</si>
  <si>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</si>
  <si>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</si>
  <si>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</si>
  <si>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</si>
  <si>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</si>
  <si>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</si>
  <si>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</si>
  <si>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</si>
  <si>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</si>
  <si>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</si>
  <si>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</si>
  <si>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</si>
  <si>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</si>
  <si>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</si>
  <si>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</si>
  <si>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</si>
  <si>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</si>
  <si>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</si>
  <si>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</si>
  <si>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</si>
  <si>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</si>
  <si>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</si>
  <si>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</si>
  <si>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</si>
  <si>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</si>
  <si>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</si>
  <si>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</si>
  <si>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</si>
  <si>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</si>
  <si>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</si>
  <si>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</si>
  <si>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</si>
  <si>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</si>
  <si>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</si>
  <si>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</si>
  <si>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</si>
  <si>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</si>
  <si>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</si>
  <si>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</si>
  <si>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</si>
  <si>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</si>
  <si>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</si>
  <si>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</si>
  <si>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</si>
  <si>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</si>
  <si>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</si>
  <si>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</si>
  <si>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</si>
  <si>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</si>
  <si>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</si>
  <si>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</si>
  <si>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</si>
  <si>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</si>
  <si>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</si>
  <si>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</si>
  <si>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</si>
  <si>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</si>
  <si>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</si>
  <si>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</si>
  <si>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</si>
  <si>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</si>
  <si>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</si>
  <si>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</si>
  <si>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</si>
  <si>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</si>
  <si>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</si>
  <si>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</si>
  <si>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</si>
  <si>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</si>
  <si>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</si>
  <si>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</si>
  <si>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</si>
  <si>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</si>
  <si>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</si>
  <si>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</si>
  <si>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</si>
  <si>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</si>
  <si>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</si>
  <si>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</si>
  <si>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</si>
  <si>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</si>
  <si>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</si>
  <si>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</si>
  <si>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</si>
  <si>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</si>
  <si>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</si>
  <si>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</si>
  <si>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</si>
  <si>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</si>
  <si>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</si>
  <si>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</si>
  <si>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</si>
  <si>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</si>
  <si>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</si>
  <si>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</si>
  <si>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</si>
  <si>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</si>
  <si>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</si>
  <si>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</si>
  <si>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</si>
  <si>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</si>
  <si>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</si>
  <si>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</si>
  <si>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</si>
  <si>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</si>
  <si>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</si>
  <si>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</si>
  <si>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</si>
  <si>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</si>
  <si>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</si>
  <si>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</si>
  <si>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</si>
  <si>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</si>
  <si>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</si>
  <si>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</si>
  <si>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</si>
  <si>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</si>
  <si>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</si>
  <si>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</si>
  <si>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</si>
  <si>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</si>
  <si>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</si>
  <si>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</si>
  <si>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</si>
  <si>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</si>
  <si>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</si>
  <si>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</si>
  <si>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</si>
  <si>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</si>
  <si>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</si>
  <si>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</si>
  <si>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</si>
  <si>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</si>
  <si>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</si>
  <si>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</si>
  <si>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</si>
  <si>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</si>
  <si>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</si>
  <si>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</si>
  <si>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</si>
  <si>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</si>
  <si>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</si>
  <si>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</si>
  <si>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</si>
  <si>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</si>
  <si>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</si>
  <si>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</si>
  <si>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</si>
  <si>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</si>
  <si>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</si>
  <si>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</si>
  <si>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</si>
  <si>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</si>
  <si>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</si>
  <si>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</si>
  <si>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</si>
  <si>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</si>
  <si>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</si>
  <si>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</si>
  <si>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</si>
  <si>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</si>
  <si>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</si>
  <si>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</si>
  <si>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</si>
  <si>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</si>
  <si>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</si>
  <si>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</si>
  <si>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</si>
  <si>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</si>
  <si>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</si>
  <si>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</si>
  <si>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</si>
  <si>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</si>
  <si>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</si>
  <si>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</si>
  <si>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</si>
  <si>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</si>
  <si>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</si>
  <si>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</si>
  <si>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</si>
  <si>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</si>
  <si>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</si>
  <si>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</si>
  <si>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</si>
  <si>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</si>
  <si>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</si>
  <si>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</si>
  <si>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</si>
  <si>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</si>
  <si>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</si>
  <si>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</si>
  <si>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</si>
  <si>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</si>
  <si>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</si>
  <si>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</si>
  <si>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</si>
  <si>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</si>
  <si>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</si>
  <si>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</si>
  <si>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</si>
  <si>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</si>
  <si>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</si>
  <si>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</si>
  <si>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</si>
  <si>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</si>
  <si>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</si>
  <si>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</si>
  <si>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</si>
  <si>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</si>
  <si>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</si>
  <si>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</si>
  <si>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</si>
  <si>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</si>
  <si>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</si>
  <si>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</si>
  <si>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</si>
  <si>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</si>
  <si>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</si>
  <si>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</si>
  <si>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</si>
  <si>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</si>
  <si>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</si>
  <si>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</si>
  <si>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</si>
  <si>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</si>
  <si>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</si>
  <si>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</si>
  <si>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</si>
  <si>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</si>
  <si>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</si>
  <si>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</si>
  <si>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</si>
  <si>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</si>
  <si>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</si>
  <si>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</si>
  <si>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</si>
  <si>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</si>
  <si>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</si>
  <si>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</si>
  <si>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</si>
  <si>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</si>
  <si>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</si>
  <si>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</si>
  <si>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</si>
  <si>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</si>
  <si>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</si>
  <si>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</si>
  <si>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</si>
  <si>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</si>
  <si>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</si>
  <si>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</si>
  <si>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</si>
  <si>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</si>
  <si>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</si>
  <si>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</si>
  <si>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</si>
  <si>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</si>
  <si>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</si>
  <si>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</si>
  <si>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</si>
  <si>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</si>
  <si>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</si>
  <si>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</si>
  <si>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</si>
  <si>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</si>
  <si>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</si>
  <si>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</si>
  <si>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</si>
  <si>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</si>
  <si>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</si>
  <si>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</si>
  <si>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</si>
  <si>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</si>
  <si>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</si>
  <si>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</si>
  <si>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</si>
  <si>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</si>
  <si>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</si>
  <si>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</si>
  <si>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</si>
  <si>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</si>
  <si>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</si>
  <si>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</si>
  <si>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</si>
  <si>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</si>
  <si>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</si>
  <si>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</si>
  <si>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</si>
  <si>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</si>
  <si>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</si>
  <si>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</si>
  <si>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</si>
  <si>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</si>
  <si>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</si>
  <si>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</si>
  <si>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</si>
  <si>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</si>
  <si>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</si>
  <si>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</si>
  <si>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</si>
  <si>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</si>
  <si>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</si>
  <si>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</si>
  <si>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</si>
  <si>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</si>
  <si>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</si>
  <si>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</si>
  <si>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</si>
  <si>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</si>
  <si>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</si>
  <si>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</si>
  <si>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</si>
  <si>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</si>
  <si>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</si>
  <si>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</si>
  <si>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</si>
  <si>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</si>
  <si>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</si>
  <si>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</si>
  <si>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</si>
  <si>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</si>
  <si>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</si>
  <si>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</si>
  <si>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</si>
  <si>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</si>
  <si>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</si>
  <si>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</si>
  <si>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</si>
  <si>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</si>
  <si>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</si>
  <si>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</si>
  <si>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</si>
  <si>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</si>
  <si>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</si>
  <si>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</si>
  <si>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</si>
  <si>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</si>
  <si>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</si>
  <si>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</si>
  <si>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</si>
  <si>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</si>
  <si>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</si>
  <si>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</si>
  <si>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</si>
  <si>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</si>
  <si>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</si>
  <si>
    <t>Share of Government Guaranteed Bank Bonds (own issues or issued by affiliates) (% of total cover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</si>
</sst>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</cellStyleXfs>
  <cellXfs count="27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28" borderId="0" xfId="0" applyFill="1"/>
    <xf numFmtId="164" fontId="2" fillId="29" borderId="12" xfId="0" applyNumberFormat="1" applyFont="1" applyFill="1" applyBorder="1" applyAlignment="1">
      <alignment horizontal="center"/>
    </xf>
    <xf numFmtId="9" fontId="2" fillId="29" borderId="12" xfId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164" fontId="4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2" fillId="29" borderId="11" xfId="0" applyNumberFormat="1" applyFont="1" applyFill="1" applyBorder="1" applyAlignment="1">
      <alignment horizontal="center"/>
    </xf>
    <xf numFmtId="164" fontId="1" fillId="0" borderId="11" xfId="2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2" xfId="0" applyFont="1" applyBorder="1"/>
    <xf numFmtId="164" fontId="2" fillId="0" borderId="11" xfId="0" applyNumberFormat="1" applyFont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164" fontId="4" fillId="29" borderId="11" xfId="0" applyNumberFormat="1" applyFont="1" applyFill="1" applyBorder="1" applyAlignment="1">
      <alignment horizontal="center"/>
    </xf>
    <xf numFmtId="3" fontId="4" fillId="29" borderId="9" xfId="0" applyNumberFormat="1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2" fillId="0" borderId="12" xfId="0" applyNumberFormat="1" applyFont="1" applyBorder="1" applyAlignment="1">
      <alignment horizontal="center"/>
    </xf>
    <xf numFmtId="9" fontId="2" fillId="29" borderId="9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37">
    <cellStyle name="20% - Accent1" xfId="89" xr:uid="{00000000-0005-0000-0000-000000000000}"/>
    <cellStyle name="20% - Accent2" xfId="90" xr:uid="{00000000-0005-0000-0000-000001000000}"/>
    <cellStyle name="20% - Accent3" xfId="91" xr:uid="{00000000-0005-0000-0000-000002000000}"/>
    <cellStyle name="20% - Accent4" xfId="92" xr:uid="{00000000-0005-0000-0000-000003000000}"/>
    <cellStyle name="20% - Accent5" xfId="93" xr:uid="{00000000-0005-0000-0000-000004000000}"/>
    <cellStyle name="20% - Accent6" xfId="94" xr:uid="{00000000-0005-0000-0000-000005000000}"/>
    <cellStyle name="20% - Akzent1 2" xfId="3" xr:uid="{00000000-0005-0000-0000-000006000000}"/>
    <cellStyle name="20% - Akzent1 2 2" xfId="4" xr:uid="{00000000-0005-0000-0000-000007000000}"/>
    <cellStyle name="20% - Akzent1 2 3" xfId="5" xr:uid="{00000000-0005-0000-0000-000008000000}"/>
    <cellStyle name="20% - Akzent1 2 4" xfId="6" xr:uid="{00000000-0005-0000-0000-000009000000}"/>
    <cellStyle name="20% - Akzent1 3" xfId="7" xr:uid="{00000000-0005-0000-0000-00000A000000}"/>
    <cellStyle name="20% - Akzent1 4" xfId="8" xr:uid="{00000000-0005-0000-0000-00000B000000}"/>
    <cellStyle name="20% - Akzent3 2" xfId="9" xr:uid="{00000000-0005-0000-0000-00000C000000}"/>
    <cellStyle name="20% - Akzent3 2 2" xfId="10" xr:uid="{00000000-0005-0000-0000-00000D000000}"/>
    <cellStyle name="20% - Akzent3 2 3" xfId="11" xr:uid="{00000000-0005-0000-0000-00000E000000}"/>
    <cellStyle name="20% - Akzent3 2 4" xfId="12" xr:uid="{00000000-0005-0000-0000-00000F000000}"/>
    <cellStyle name="40% - Accent1" xfId="95" xr:uid="{00000000-0005-0000-0000-000010000000}"/>
    <cellStyle name="40% - Accent2" xfId="96" xr:uid="{00000000-0005-0000-0000-000011000000}"/>
    <cellStyle name="40% - Accent3" xfId="97" xr:uid="{00000000-0005-0000-0000-000012000000}"/>
    <cellStyle name="40% - Accent4" xfId="98" xr:uid="{00000000-0005-0000-0000-000013000000}"/>
    <cellStyle name="40% - Accent5" xfId="99" xr:uid="{00000000-0005-0000-0000-000014000000}"/>
    <cellStyle name="40% - Accent6" xfId="100" xr:uid="{00000000-0005-0000-0000-000015000000}"/>
    <cellStyle name="40% - Akzent6 2" xfId="13" xr:uid="{00000000-0005-0000-0000-000016000000}"/>
    <cellStyle name="40% - Akzent6 2 2" xfId="14" xr:uid="{00000000-0005-0000-0000-000017000000}"/>
    <cellStyle name="40% - Akzent6 2 3" xfId="15" xr:uid="{00000000-0005-0000-0000-000018000000}"/>
    <cellStyle name="40% - Akzent6 2 4" xfId="16" xr:uid="{00000000-0005-0000-0000-000019000000}"/>
    <cellStyle name="40% - Akzent6 3" xfId="17" xr:uid="{00000000-0005-0000-0000-00001A000000}"/>
    <cellStyle name="40% - Akzent6 4" xfId="18" xr:uid="{00000000-0005-0000-0000-00001B000000}"/>
    <cellStyle name="60% - Accent1" xfId="101" xr:uid="{00000000-0005-0000-0000-00001C000000}"/>
    <cellStyle name="60% - Accent2" xfId="102" xr:uid="{00000000-0005-0000-0000-00001D000000}"/>
    <cellStyle name="60% - Accent3" xfId="103" xr:uid="{00000000-0005-0000-0000-00001E000000}"/>
    <cellStyle name="60% - Accent4" xfId="104" xr:uid="{00000000-0005-0000-0000-00001F000000}"/>
    <cellStyle name="60% - Accent5" xfId="105" xr:uid="{00000000-0005-0000-0000-000020000000}"/>
    <cellStyle name="60% - Accent6" xfId="106" xr:uid="{00000000-0005-0000-0000-000021000000}"/>
    <cellStyle name="Accent1" xfId="107" xr:uid="{00000000-0005-0000-0000-000022000000}"/>
    <cellStyle name="Accent2" xfId="108" xr:uid="{00000000-0005-0000-0000-000023000000}"/>
    <cellStyle name="Accent3" xfId="109" xr:uid="{00000000-0005-0000-0000-000024000000}"/>
    <cellStyle name="Accent4" xfId="110" xr:uid="{00000000-0005-0000-0000-000025000000}"/>
    <cellStyle name="Accent5" xfId="111" xr:uid="{00000000-0005-0000-0000-000026000000}"/>
    <cellStyle name="Accent6" xfId="112" xr:uid="{00000000-0005-0000-0000-000027000000}"/>
    <cellStyle name="Bad" xfId="113" xr:uid="{00000000-0005-0000-0000-000028000000}"/>
    <cellStyle name="Calculation" xfId="114" xr:uid="{00000000-0005-0000-0000-000029000000}"/>
    <cellStyle name="Check Cell" xfId="115" xr:uid="{00000000-0005-0000-0000-00002A000000}"/>
    <cellStyle name="Dezimal 2" xfId="19" xr:uid="{00000000-0005-0000-0000-00002B000000}"/>
    <cellStyle name="Dezimal 2 2" xfId="117" xr:uid="{00000000-0005-0000-0000-00002C000000}"/>
    <cellStyle name="Dezimal 2_Overview" xfId="116" xr:uid="{00000000-0005-0000-0000-00002D000000}"/>
    <cellStyle name="Dezimal 3" xfId="20" xr:uid="{00000000-0005-0000-0000-00002E000000}"/>
    <cellStyle name="Dezimal 4" xfId="21" xr:uid="{00000000-0005-0000-0000-00002F000000}"/>
    <cellStyle name="Explanatory Text" xfId="118" xr:uid="{00000000-0005-0000-0000-000030000000}"/>
    <cellStyle name="Good" xfId="119" xr:uid="{00000000-0005-0000-0000-000031000000}"/>
    <cellStyle name="Heading 1" xfId="120" xr:uid="{00000000-0005-0000-0000-000032000000}"/>
    <cellStyle name="Heading 2" xfId="121" xr:uid="{00000000-0005-0000-0000-000033000000}"/>
    <cellStyle name="Heading 3" xfId="122" xr:uid="{00000000-0005-0000-0000-000034000000}"/>
    <cellStyle name="Heading 4" xfId="123" xr:uid="{00000000-0005-0000-0000-000035000000}"/>
    <cellStyle name="Input" xfId="124" xr:uid="{00000000-0005-0000-0000-000036000000}"/>
    <cellStyle name="Komma" xfId="2" builtinId="3"/>
    <cellStyle name="Linked Cell" xfId="125" xr:uid="{00000000-0005-0000-0000-00003A000000}"/>
    <cellStyle name="Note" xfId="126" xr:uid="{00000000-0005-0000-0000-00003B000000}"/>
    <cellStyle name="Output" xfId="127" xr:uid="{00000000-0005-0000-0000-00003C000000}"/>
    <cellStyle name="Prozent" xfId="1" builtinId="5"/>
    <cellStyle name="Prozent 2" xfId="22" xr:uid="{00000000-0005-0000-0000-00003E000000}"/>
    <cellStyle name="Prozent 2 2" xfId="128" xr:uid="{00000000-0005-0000-0000-00003F000000}"/>
    <cellStyle name="Prozent 3" xfId="23" xr:uid="{00000000-0005-0000-0000-000040000000}"/>
    <cellStyle name="Prozent 4" xfId="24" xr:uid="{00000000-0005-0000-0000-000041000000}"/>
    <cellStyle name="Prozent 5" xfId="25" xr:uid="{00000000-0005-0000-0000-000042000000}"/>
    <cellStyle name="Prozent 5 2" xfId="26" xr:uid="{00000000-0005-0000-0000-000043000000}"/>
    <cellStyle name="Prozent 5 2 2" xfId="27" xr:uid="{00000000-0005-0000-0000-000044000000}"/>
    <cellStyle name="Prozent 5 2 3" xfId="28" xr:uid="{00000000-0005-0000-0000-000045000000}"/>
    <cellStyle name="Prozent 5 2 4" xfId="29" xr:uid="{00000000-0005-0000-0000-000046000000}"/>
    <cellStyle name="Prozent 5 3" xfId="30" xr:uid="{00000000-0005-0000-0000-000047000000}"/>
    <cellStyle name="Prozent 5 3 2" xfId="31" xr:uid="{00000000-0005-0000-0000-000048000000}"/>
    <cellStyle name="Prozent 5 3 3" xfId="32" xr:uid="{00000000-0005-0000-0000-000049000000}"/>
    <cellStyle name="Prozent 5 3 4" xfId="33" xr:uid="{00000000-0005-0000-0000-00004A000000}"/>
    <cellStyle name="Prozent 5 4" xfId="34" xr:uid="{00000000-0005-0000-0000-00004B000000}"/>
    <cellStyle name="Prozent 5 5" xfId="35" xr:uid="{00000000-0005-0000-0000-00004C000000}"/>
    <cellStyle name="Prozent 5 6" xfId="36" xr:uid="{00000000-0005-0000-0000-00004D000000}"/>
    <cellStyle name="Standard" xfId="0" builtinId="0"/>
    <cellStyle name="Standard 2" xfId="37" xr:uid="{00000000-0005-0000-0000-00004F000000}"/>
    <cellStyle name="Standard 2 2" xfId="38" xr:uid="{00000000-0005-0000-0000-000050000000}"/>
    <cellStyle name="Standard 2_Overview" xfId="129" xr:uid="{00000000-0005-0000-0000-000051000000}"/>
    <cellStyle name="Standard 3" xfId="39" xr:uid="{00000000-0005-0000-0000-000052000000}"/>
    <cellStyle name="Standard 3 2" xfId="40" xr:uid="{00000000-0005-0000-0000-000053000000}"/>
    <cellStyle name="Standard 3 2 2" xfId="41" xr:uid="{00000000-0005-0000-0000-000054000000}"/>
    <cellStyle name="Standard 3 2 2 2" xfId="42" xr:uid="{00000000-0005-0000-0000-000055000000}"/>
    <cellStyle name="Standard 3 2 2 3" xfId="43" xr:uid="{00000000-0005-0000-0000-000056000000}"/>
    <cellStyle name="Standard 3 2 2 4" xfId="44" xr:uid="{00000000-0005-0000-0000-000057000000}"/>
    <cellStyle name="Standard 3 2 3" xfId="45" xr:uid="{00000000-0005-0000-0000-000058000000}"/>
    <cellStyle name="Standard 3 2 3 2" xfId="46" xr:uid="{00000000-0005-0000-0000-000059000000}"/>
    <cellStyle name="Standard 3 2 3 3" xfId="47" xr:uid="{00000000-0005-0000-0000-00005A000000}"/>
    <cellStyle name="Standard 3 2 3 4" xfId="48" xr:uid="{00000000-0005-0000-0000-00005B000000}"/>
    <cellStyle name="Standard 3 2 4" xfId="49" xr:uid="{00000000-0005-0000-0000-00005C000000}"/>
    <cellStyle name="Standard 3 2 5" xfId="50" xr:uid="{00000000-0005-0000-0000-00005D000000}"/>
    <cellStyle name="Standard 3 2 6" xfId="51" xr:uid="{00000000-0005-0000-0000-00005E000000}"/>
    <cellStyle name="Standard 3 3" xfId="52" xr:uid="{00000000-0005-0000-0000-00005F000000}"/>
    <cellStyle name="Standard 3 3 2" xfId="53" xr:uid="{00000000-0005-0000-0000-000060000000}"/>
    <cellStyle name="Standard 3 3 3" xfId="54" xr:uid="{00000000-0005-0000-0000-000061000000}"/>
    <cellStyle name="Standard 3 3 4" xfId="55" xr:uid="{00000000-0005-0000-0000-000062000000}"/>
    <cellStyle name="Standard 3 4" xfId="56" xr:uid="{00000000-0005-0000-0000-000063000000}"/>
    <cellStyle name="Standard 3 4 2" xfId="57" xr:uid="{00000000-0005-0000-0000-000064000000}"/>
    <cellStyle name="Standard 3 4 3" xfId="58" xr:uid="{00000000-0005-0000-0000-000065000000}"/>
    <cellStyle name="Standard 3 4 4" xfId="59" xr:uid="{00000000-0005-0000-0000-000066000000}"/>
    <cellStyle name="Standard 3 5" xfId="60" xr:uid="{00000000-0005-0000-0000-000067000000}"/>
    <cellStyle name="Standard 3 6" xfId="61" xr:uid="{00000000-0005-0000-0000-000068000000}"/>
    <cellStyle name="Standard 3 7" xfId="62" xr:uid="{00000000-0005-0000-0000-000069000000}"/>
    <cellStyle name="Standard 3_Overview" xfId="130" xr:uid="{00000000-0005-0000-0000-00006A000000}"/>
    <cellStyle name="Standard 4" xfId="63" xr:uid="{00000000-0005-0000-0000-00006B000000}"/>
    <cellStyle name="Standard 5" xfId="64" xr:uid="{00000000-0005-0000-0000-00006C000000}"/>
    <cellStyle name="Standard 6" xfId="65" xr:uid="{00000000-0005-0000-0000-00006D000000}"/>
    <cellStyle name="Standard 6 2" xfId="66" xr:uid="{00000000-0005-0000-0000-00006E000000}"/>
    <cellStyle name="Standard 6 2 2" xfId="67" xr:uid="{00000000-0005-0000-0000-00006F000000}"/>
    <cellStyle name="Standard 6 2 3" xfId="68" xr:uid="{00000000-0005-0000-0000-000070000000}"/>
    <cellStyle name="Standard 6 2 4" xfId="69" xr:uid="{00000000-0005-0000-0000-000071000000}"/>
    <cellStyle name="Standard 6 3" xfId="70" xr:uid="{00000000-0005-0000-0000-000072000000}"/>
    <cellStyle name="Standard 6 3 2" xfId="71" xr:uid="{00000000-0005-0000-0000-000073000000}"/>
    <cellStyle name="Standard 6 3 3" xfId="72" xr:uid="{00000000-0005-0000-0000-000074000000}"/>
    <cellStyle name="Standard 6 3 4" xfId="73" xr:uid="{00000000-0005-0000-0000-000075000000}"/>
    <cellStyle name="Standard 6 4" xfId="74" xr:uid="{00000000-0005-0000-0000-000076000000}"/>
    <cellStyle name="Standard 6 5" xfId="75" xr:uid="{00000000-0005-0000-0000-000077000000}"/>
    <cellStyle name="Standard 6 6" xfId="76" xr:uid="{00000000-0005-0000-0000-000078000000}"/>
    <cellStyle name="Standard 7" xfId="77" xr:uid="{00000000-0005-0000-0000-000079000000}"/>
    <cellStyle name="Standard 7 2" xfId="78" xr:uid="{00000000-0005-0000-0000-00007A000000}"/>
    <cellStyle name="Standard 7 2 2" xfId="79" xr:uid="{00000000-0005-0000-0000-00007B000000}"/>
    <cellStyle name="Standard 7 2 3" xfId="80" xr:uid="{00000000-0005-0000-0000-00007C000000}"/>
    <cellStyle name="Standard 7 2 4" xfId="81" xr:uid="{00000000-0005-0000-0000-00007D000000}"/>
    <cellStyle name="Standard 7 3" xfId="82" xr:uid="{00000000-0005-0000-0000-00007E000000}"/>
    <cellStyle name="Standard 7 3 2" xfId="83" xr:uid="{00000000-0005-0000-0000-00007F000000}"/>
    <cellStyle name="Standard 7 3 3" xfId="84" xr:uid="{00000000-0005-0000-0000-000080000000}"/>
    <cellStyle name="Standard 7 3 4" xfId="85" xr:uid="{00000000-0005-0000-0000-000081000000}"/>
    <cellStyle name="Standard 7 4" xfId="86" xr:uid="{00000000-0005-0000-0000-000082000000}"/>
    <cellStyle name="Standard 7 5" xfId="87" xr:uid="{00000000-0005-0000-0000-000083000000}"/>
    <cellStyle name="Standard 7 6" xfId="88" xr:uid="{00000000-0005-0000-0000-000084000000}"/>
    <cellStyle name="Style 1" xfId="131" xr:uid="{00000000-0005-0000-0000-000085000000}"/>
    <cellStyle name="Style 1 2" xfId="132" xr:uid="{00000000-0005-0000-0000-000086000000}"/>
    <cellStyle name="Style 1 2 2" xfId="133" xr:uid="{00000000-0005-0000-0000-000087000000}"/>
    <cellStyle name="Title" xfId="134" xr:uid="{00000000-0005-0000-0000-000088000000}"/>
    <cellStyle name="Total" xfId="135" xr:uid="{00000000-0005-0000-0000-000089000000}"/>
    <cellStyle name="Warning Text" xfId="136" xr:uid="{00000000-0005-0000-0000-00008A000000}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270963541.46505815</c:v>
                </c:pt>
                <c:pt idx="1">
                  <c:v>574668727.04295015</c:v>
                </c:pt>
                <c:pt idx="2">
                  <c:v>182435336.50949857</c:v>
                </c:pt>
                <c:pt idx="3">
                  <c:v>273594198.83400542</c:v>
                </c:pt>
                <c:pt idx="4">
                  <c:v>599340396.78999996</c:v>
                </c:pt>
                <c:pt idx="5">
                  <c:v>885385525.83000004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586738624.64241493</c:v>
                </c:pt>
                <c:pt idx="1">
                  <c:v>440353055.47807759</c:v>
                </c:pt>
                <c:pt idx="2">
                  <c:v>655434015.25995243</c:v>
                </c:pt>
                <c:pt idx="3">
                  <c:v>620254526.84356976</c:v>
                </c:pt>
                <c:pt idx="4">
                  <c:v>221933966.09750065</c:v>
                </c:pt>
                <c:pt idx="5">
                  <c:v>76861248.235704154</c:v>
                </c:pt>
                <c:pt idx="6">
                  <c:v>71104069.535254046</c:v>
                </c:pt>
                <c:pt idx="7">
                  <c:v>31034474.39927496</c:v>
                </c:pt>
                <c:pt idx="8">
                  <c:v>24930168.389338881</c:v>
                </c:pt>
                <c:pt idx="9">
                  <c:v>12066771.03964765</c:v>
                </c:pt>
                <c:pt idx="10">
                  <c:v>45676806.550777122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434008383.64999998</c:v>
                </c:pt>
                <c:pt idx="1">
                  <c:v>1172079726.53</c:v>
                </c:pt>
                <c:pt idx="2">
                  <c:v>391920393.54000002</c:v>
                </c:pt>
                <c:pt idx="3">
                  <c:v>429029451.11000001</c:v>
                </c:pt>
                <c:pt idx="4">
                  <c:v>359349771.64151233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135825373.62052077</c:v>
                </c:pt>
                <c:pt idx="1">
                  <c:v>257314795.7634778</c:v>
                </c:pt>
                <c:pt idx="2">
                  <c:v>244337769.02956733</c:v>
                </c:pt>
                <c:pt idx="3">
                  <c:v>337192221.6766603</c:v>
                </c:pt>
                <c:pt idx="4">
                  <c:v>1811717566.3812861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30000000</c:v>
                </c:pt>
                <c:pt idx="1">
                  <c:v>30000000</c:v>
                </c:pt>
                <c:pt idx="2">
                  <c:v>812086000</c:v>
                </c:pt>
                <c:pt idx="3">
                  <c:v>1010000000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0.71831685157084368</c:v>
                </c:pt>
                <c:pt idx="1">
                  <c:v>0.39261149047689953</c:v>
                </c:pt>
                <c:pt idx="2">
                  <c:v>0.29055621018002992</c:v>
                </c:pt>
                <c:pt idx="3">
                  <c:v>3.5149150913914261E-2</c:v>
                </c:pt>
                <c:pt idx="4">
                  <c:v>0.28168314842915637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E2551\Liquidit&#228;tsmanagement\Funding\Deckungsst&#246;cke\Reporting%20f&#252;r%20Pfandbrief-Forum%20und%20Treuh&#228;nder\2021\2021-09\Pfandbriefforumsreport%20Pfandbrief%20Hypothekenpfandbrief%202021-10-01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/>
      <sheetData sheetId="1">
        <row r="14">
          <cell r="C14">
            <v>2735055725.073431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Normal="100" workbookViewId="0">
      <selection activeCell="G12" sqref="G12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5" customFormat="1" ht="36" customHeight="1" thickBot="1" x14ac:dyDescent="0.3">
      <c r="A1" s="184" t="s">
        <v>189</v>
      </c>
      <c r="B1" s="184" t="s">
        <v>0</v>
      </c>
      <c r="C1" s="226" t="s">
        <v>369</v>
      </c>
      <c r="D1" s="226"/>
      <c r="E1" s="226"/>
    </row>
    <row r="2" spans="1:5" x14ac:dyDescent="0.25">
      <c r="B2" s="1" t="str">
        <f>INDEX(Language!D2:M33,2,IF(A1="EN",1,6))</f>
        <v>Report Date</v>
      </c>
      <c r="D2" s="81">
        <v>44561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6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7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200">
        <v>2.4377580443367772E-2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13">
        <v>1912086000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13">
        <v>2836222226.4715123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88" t="s">
        <v>7</v>
      </c>
      <c r="D14" s="188" t="s">
        <v>8</v>
      </c>
      <c r="E14" s="188" t="s">
        <v>9</v>
      </c>
    </row>
    <row r="15" spans="1:5" ht="16.5" customHeight="1" x14ac:dyDescent="0.25">
      <c r="B15" s="136" t="str">
        <f>INDEX(Language!D2:M33,15,IF(A1="EN",1,6))</f>
        <v>Issuer rating</v>
      </c>
      <c r="C15" s="188" t="s">
        <v>120</v>
      </c>
      <c r="D15" s="188" t="s">
        <v>120</v>
      </c>
      <c r="E15" s="188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88" t="s">
        <v>367</v>
      </c>
      <c r="D16" s="188" t="s">
        <v>120</v>
      </c>
      <c r="E16" s="188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201">
        <v>11102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201">
        <v>8731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201">
        <v>9852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214">
        <v>324845.06087178015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214">
        <v>255469.48536043166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200">
        <v>3.3199159225630039E-4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200">
        <v>9.7802576483171352E-2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200">
        <v>0.11556018796002966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200">
        <v>9.6560665322709995E-3</v>
      </c>
      <c r="E25" s="136"/>
    </row>
    <row r="26" spans="2:5" ht="16.5" customHeight="1" x14ac:dyDescent="0.25">
      <c r="B26" s="189" t="str">
        <f>INDEX(Language!D2:M33,26,IF(A1="EN",1,6))</f>
        <v>Share of issues in foreign currency (% of primary cover pool)</v>
      </c>
      <c r="C26" s="36"/>
      <c r="D26" s="200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200">
        <v>0.41956298643348638</v>
      </c>
      <c r="E27" s="136"/>
    </row>
    <row r="28" spans="2:5" ht="16.5" customHeight="1" x14ac:dyDescent="0.25">
      <c r="B28" s="136" t="s">
        <v>371</v>
      </c>
      <c r="C28" s="36"/>
      <c r="D28" s="200">
        <v>0</v>
      </c>
      <c r="E28" s="136"/>
    </row>
    <row r="29" spans="2:5" ht="16.5" customHeight="1" x14ac:dyDescent="0.25">
      <c r="B29" s="136" t="str">
        <f>INDEX(Language!D2:M33,28,IF(A1="EN",1,6))</f>
        <v>Nominal over-collateralisation (total cover pool / outstanding issues in %)</v>
      </c>
      <c r="C29" s="36"/>
      <c r="D29" s="200">
        <v>0.48331310750223166</v>
      </c>
      <c r="E29" s="136"/>
    </row>
    <row r="30" spans="2:5" ht="16.5" customHeight="1" x14ac:dyDescent="0.25">
      <c r="B30" s="136" t="str">
        <f>INDEX(Language!D2:M33,29,IF(A1="EN",1,6))</f>
        <v>Present value over-collateralisation (PV total cover pool / PV outstanding issues in %)</v>
      </c>
      <c r="C30" s="36"/>
      <c r="D30" s="200">
        <v>0.63222912826460853</v>
      </c>
      <c r="E30" s="136"/>
    </row>
    <row r="31" spans="2:5" ht="16.5" customHeight="1" x14ac:dyDescent="0.25">
      <c r="B31" s="136" t="str">
        <f>INDEX(Language!D2:M33,30,IF(A1="EN",1,6))</f>
        <v>Number of issues</v>
      </c>
      <c r="C31" s="36"/>
      <c r="D31" s="201">
        <v>13</v>
      </c>
      <c r="E31" s="136"/>
    </row>
    <row r="32" spans="2:5" ht="16.5" customHeight="1" x14ac:dyDescent="0.25">
      <c r="B32" s="136" t="str">
        <f>INDEX(Language!D2:M33,31,IF(A1="EN",1,6))</f>
        <v>Average issue size</v>
      </c>
      <c r="C32" s="36"/>
      <c r="D32" s="202">
        <v>147083538.46153846</v>
      </c>
      <c r="E32" s="136"/>
    </row>
    <row r="33" spans="2:5" ht="16.5" customHeight="1" x14ac:dyDescent="0.25">
      <c r="B33" s="136" t="str">
        <f>INDEX(Language!D2:M33,32,IF(A1="EN",1,6))</f>
        <v>WA LTV according to rating agency definition (%) *</v>
      </c>
      <c r="C33" s="36"/>
      <c r="D33" s="200">
        <v>0.55807513099999995</v>
      </c>
      <c r="E33" s="136"/>
    </row>
    <row r="34" spans="2:5" x14ac:dyDescent="0.25">
      <c r="B34" s="136" t="str">
        <f>INDEX(Language!D3:M34,32,IF(A1="EN",1,6))</f>
        <v>WA LTV according to Austrian definition (%) **</v>
      </c>
      <c r="C34" s="36"/>
      <c r="D34" s="200">
        <v>0.48232074699999999</v>
      </c>
      <c r="E34" s="136"/>
    </row>
    <row r="35" spans="2:5" x14ac:dyDescent="0.25">
      <c r="B35" s="190"/>
      <c r="C35" s="191"/>
      <c r="D35" s="192"/>
    </row>
    <row r="36" spans="2:5" ht="32.25" customHeight="1" x14ac:dyDescent="0.25">
      <c r="B36" s="227" t="str">
        <f>INDEX(Language!D5:M36,32,IF($A$1="EN",1,6))</f>
        <v>*LTV definition rating agencies: (total loans outstanding per borrower + total prior-ranking mortgages)/ total of property values</v>
      </c>
      <c r="C36" s="227"/>
      <c r="D36" s="227"/>
      <c r="E36" s="227"/>
    </row>
    <row r="37" spans="2:5" ht="21.75" customHeight="1" x14ac:dyDescent="0.25">
      <c r="B37" s="227" t="str">
        <f>INDEX(Language!D6:M37,32,IF($A$1="EN",1,6))</f>
        <v>**LTV Austrian calculation: loan amount in cover pool/ total of property values minus prior-ranking mortgages</v>
      </c>
      <c r="C37" s="227"/>
      <c r="D37" s="227"/>
      <c r="E37" s="227"/>
    </row>
    <row r="38" spans="2:5" x14ac:dyDescent="0.25">
      <c r="B38" s="156"/>
      <c r="C38" s="157"/>
      <c r="D38" s="158"/>
      <c r="E38" s="156"/>
    </row>
    <row r="39" spans="2:5" x14ac:dyDescent="0.25">
      <c r="B39" s="156"/>
      <c r="C39" s="156"/>
      <c r="D39" s="156"/>
      <c r="E39" s="156"/>
    </row>
    <row r="40" spans="2:5" x14ac:dyDescent="0.25">
      <c r="B40" s="156"/>
      <c r="C40" s="156"/>
      <c r="D40" s="156"/>
      <c r="E40" s="156"/>
    </row>
  </sheetData>
  <mergeCells count="3">
    <mergeCell ref="C1:E1"/>
    <mergeCell ref="B36:E36"/>
    <mergeCell ref="B37:E37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2"/>
  <sheetViews>
    <sheetView topLeftCell="A175" zoomScaleNormal="100" zoomScalePageLayoutView="85" workbookViewId="0">
      <selection activeCell="H196" sqref="H196:H199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5" t="str">
        <f>INDEX(Language!$D$2:$X$300,SUM(Language!AB7),IF(Overview!$A$1="EN",2,11))</f>
        <v>Primary cover pool by loan size</v>
      </c>
      <c r="C4" s="166"/>
      <c r="D4" s="167"/>
      <c r="E4" s="16"/>
      <c r="G4" s="16"/>
      <c r="H4" s="16"/>
      <c r="I4" s="16"/>
      <c r="J4" s="2"/>
    </row>
    <row r="5" spans="1:10" s="15" customFormat="1" x14ac:dyDescent="0.2">
      <c r="A5" s="57"/>
      <c r="B5" s="168"/>
      <c r="C5" s="169" t="str">
        <f>INDEX(Language!$D$2:$X$300,SUM(Language!AC8),IF(Overview!$A$1="EN",3,12))</f>
        <v>volume</v>
      </c>
      <c r="D5" s="170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218">
        <v>845632268.50800824</v>
      </c>
      <c r="D6" s="203">
        <v>9836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18">
        <v>270963541.46505815</v>
      </c>
      <c r="D7" s="203">
        <v>6393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18">
        <v>574668727.04295015</v>
      </c>
      <c r="D8" s="203">
        <v>3443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218">
        <v>1055369932.1335039</v>
      </c>
      <c r="D9" s="203">
        <v>1185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18">
        <v>182435336.50949857</v>
      </c>
      <c r="D10" s="203">
        <v>482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18">
        <v>273594198.83400542</v>
      </c>
      <c r="D11" s="203">
        <v>389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18">
        <v>599340396.78999996</v>
      </c>
      <c r="D12" s="203">
        <v>314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18">
        <v>885385525.83000004</v>
      </c>
      <c r="D13" s="203">
        <v>76</v>
      </c>
    </row>
    <row r="14" spans="1:10" s="15" customFormat="1" x14ac:dyDescent="0.2">
      <c r="A14" s="56"/>
      <c r="B14" s="171" t="str">
        <f>INDEX(Language!$D$2:$X$300,SUM(Language!AB17),IF(Overview!$A$1="EN",2,11))</f>
        <v>Total</v>
      </c>
      <c r="C14" s="221">
        <f>C6+C9+C13</f>
        <v>2786387726.4715123</v>
      </c>
      <c r="D14" s="222">
        <f>D6+D9+D13</f>
        <v>11097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2"/>
      <c r="D18" s="173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4" t="str">
        <f>INDEX(Language!$D$2:$X$300,SUM(Language!AB25),IF(Overview!$A$1="EN",2,11))</f>
        <v>Primary cover pool</v>
      </c>
      <c r="C22" s="172"/>
      <c r="D22" s="167" t="str">
        <f>INDEX(Language!$D$2:$X$300,SUM(Language!AD25),IF(Overview!$A$1="EN",4,13))</f>
        <v>volume</v>
      </c>
      <c r="E22" s="16"/>
      <c r="F22" s="174" t="str">
        <f>INDEX(Language!$D$2:$X$300,SUM(Language!AF25),IF(Overview!$A$1="EN",6,15))</f>
        <v>Issues</v>
      </c>
      <c r="G22" s="172"/>
      <c r="H22" s="167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204">
        <v>2759482181.1999998</v>
      </c>
      <c r="F23" s="7" t="str">
        <f>INDEX(Language!$D$2:$X$300,SUM(Language!AF26),IF(Overview!$A$1="EN",6,15))</f>
        <v>in EUR</v>
      </c>
      <c r="G23" s="8"/>
      <c r="H23" s="204">
        <v>1912086000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204">
        <v>26294745.271512251</v>
      </c>
      <c r="F24" s="7" t="str">
        <f>INDEX(Language!$D$2:$X$300,SUM(Language!AF27),IF(Overview!$A$1="EN",6,15))</f>
        <v>in CHF</v>
      </c>
      <c r="G24" s="8"/>
      <c r="H24" s="149"/>
    </row>
    <row r="25" spans="1:10" x14ac:dyDescent="0.2">
      <c r="B25" s="7" t="str">
        <f>INDEX(Language!$D$2:$X$300,SUM(Language!AB28),IF(Overview!$A$1="EN",2,11))</f>
        <v>in USD</v>
      </c>
      <c r="C25" s="8"/>
      <c r="D25" s="204">
        <v>136200</v>
      </c>
      <c r="F25" s="7" t="str">
        <f>INDEX(Language!$D$2:$X$300,SUM(Language!AF28),IF(Overview!$A$1="EN",6,15))</f>
        <v>in USD</v>
      </c>
      <c r="G25" s="8"/>
      <c r="H25" s="149"/>
    </row>
    <row r="26" spans="1:10" x14ac:dyDescent="0.2">
      <c r="B26" s="7" t="str">
        <f>INDEX(Language!$D$2:$X$300,SUM(Language!AB29),IF(Overview!$A$1="EN",2,11))</f>
        <v>in JPY</v>
      </c>
      <c r="C26" s="8"/>
      <c r="D26" s="204">
        <v>474600</v>
      </c>
      <c r="F26" s="7" t="str">
        <f>INDEX(Language!$D$2:$X$300,SUM(Language!AF29),IF(Overview!$A$1="EN",6,15))</f>
        <v>in JPY</v>
      </c>
      <c r="G26" s="8"/>
      <c r="H26" s="149"/>
    </row>
    <row r="27" spans="1:10" x14ac:dyDescent="0.2">
      <c r="B27" s="7" t="str">
        <f>INDEX(Language!$D$2:$X$300,SUM(Language!AB30),IF(Overview!$A$1="EN",2,11))</f>
        <v>Other</v>
      </c>
      <c r="C27" s="8"/>
      <c r="D27" s="204"/>
      <c r="F27" s="7" t="str">
        <f>INDEX(Language!$D$2:$X$300,SUM(Language!AF30),IF(Overview!$A$1="EN",6,15))</f>
        <v>Other</v>
      </c>
      <c r="G27" s="8"/>
      <c r="H27" s="149"/>
    </row>
    <row r="28" spans="1:10" s="15" customFormat="1" x14ac:dyDescent="0.2">
      <c r="B28" s="175" t="str">
        <f>INDEX(Language!$D$2:$X$300,SUM(Language!AB31),IF(Overview!$A$1="EN",2,11))</f>
        <v>Total</v>
      </c>
      <c r="C28" s="141"/>
      <c r="D28" s="193">
        <f>SUM(D23:D27)</f>
        <v>2786387726.4715118</v>
      </c>
      <c r="E28" s="16"/>
      <c r="F28" s="175" t="str">
        <f>INDEX(Language!$D$2:$X$300,SUM(Language!AF31),IF(Overview!$A$1="EN",6,15))</f>
        <v>Total</v>
      </c>
      <c r="G28" s="141"/>
      <c r="H28" s="193">
        <f>SUM(H23:H27)</f>
        <v>1912086000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2" t="str">
        <f>INDEX(Language!$D$2:$X$300,SUM(Language!AC35),IF(Overview!$A$1="EN",3,12))</f>
        <v>volume</v>
      </c>
      <c r="D32" s="173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205">
        <v>586738624.64241493</v>
      </c>
      <c r="D33" s="220">
        <v>0.21057321602023421</v>
      </c>
    </row>
    <row r="34" spans="2:10" x14ac:dyDescent="0.2">
      <c r="B34" s="7" t="str">
        <f>INDEX(Language!$D$2:$X$300,SUM(Language!AB37),IF(Overview!$A$1="EN",2,11))</f>
        <v>40 - 50%</v>
      </c>
      <c r="C34" s="205">
        <v>440353055.47807759</v>
      </c>
      <c r="D34" s="220">
        <v>0.15803725062904658</v>
      </c>
    </row>
    <row r="35" spans="2:10" x14ac:dyDescent="0.2">
      <c r="B35" s="7" t="str">
        <f>INDEX(Language!$D$2:$X$300,SUM(Language!AB38),IF(Overview!$A$1="EN",2,11))</f>
        <v>50 - 60%</v>
      </c>
      <c r="C35" s="205">
        <v>655434015.25995243</v>
      </c>
      <c r="D35" s="220">
        <v>0.23522713979577731</v>
      </c>
    </row>
    <row r="36" spans="2:10" x14ac:dyDescent="0.2">
      <c r="B36" s="7" t="str">
        <f>INDEX(Language!$D$2:$X$300,SUM(Language!AB39),IF(Overview!$A$1="EN",2,11))</f>
        <v>60 - 70%</v>
      </c>
      <c r="C36" s="205">
        <v>620254526.84356976</v>
      </c>
      <c r="D36" s="220">
        <v>0.22260165767705883</v>
      </c>
    </row>
    <row r="37" spans="2:10" x14ac:dyDescent="0.2">
      <c r="B37" s="7" t="str">
        <f>INDEX(Language!$D$2:$X$300,SUM(Language!AB40),IF(Overview!$A$1="EN",2,11))</f>
        <v>70 - 80%</v>
      </c>
      <c r="C37" s="205">
        <v>221933966.09750065</v>
      </c>
      <c r="D37" s="220">
        <v>7.9649348146728471E-2</v>
      </c>
    </row>
    <row r="38" spans="2:10" x14ac:dyDescent="0.2">
      <c r="B38" s="7" t="str">
        <f>INDEX(Language!$D$2:$X$300,SUM(Language!AB41),IF(Overview!$A$1="EN",2,11))</f>
        <v>80 - 85%</v>
      </c>
      <c r="C38" s="205">
        <v>76861248.235704154</v>
      </c>
      <c r="D38" s="220">
        <v>2.7584548806865405E-2</v>
      </c>
    </row>
    <row r="39" spans="2:10" x14ac:dyDescent="0.2">
      <c r="B39" s="7" t="str">
        <f>INDEX(Language!$D$2:$X$300,SUM(Language!AB42),IF(Overview!$A$1="EN",2,11))</f>
        <v>85 - 90%</v>
      </c>
      <c r="C39" s="205">
        <v>71104069.535254046</v>
      </c>
      <c r="D39" s="220">
        <v>2.5518368768188377E-2</v>
      </c>
    </row>
    <row r="40" spans="2:10" x14ac:dyDescent="0.2">
      <c r="B40" s="7" t="str">
        <f>INDEX(Language!$D$2:$X$300,SUM(Language!AB43),IF(Overview!$A$1="EN",2,11))</f>
        <v>90 - 95%</v>
      </c>
      <c r="C40" s="205">
        <v>31034474.39927496</v>
      </c>
      <c r="D40" s="220">
        <v>1.113788799183912E-2</v>
      </c>
    </row>
    <row r="41" spans="2:10" x14ac:dyDescent="0.2">
      <c r="B41" s="7" t="str">
        <f>INDEX(Language!$D$2:$X$300,SUM(Language!AB44),IF(Overview!$A$1="EN",2,11))</f>
        <v>95 - 100%</v>
      </c>
      <c r="C41" s="205">
        <v>24930168.389338881</v>
      </c>
      <c r="D41" s="220">
        <v>8.9471282666424585E-3</v>
      </c>
    </row>
    <row r="42" spans="2:10" x14ac:dyDescent="0.2">
      <c r="B42" s="7" t="str">
        <f>INDEX(Language!$D$2:$X$300,SUM(Language!AB45),IF(Overview!$A$1="EN",2,11))</f>
        <v>100 - 105%</v>
      </c>
      <c r="C42" s="205">
        <v>12066771.03964765</v>
      </c>
      <c r="D42" s="220">
        <v>4.3306144816135017E-3</v>
      </c>
    </row>
    <row r="43" spans="2:10" x14ac:dyDescent="0.2">
      <c r="B43" s="7" t="str">
        <f>INDEX(Language!$D$2:$X$300,SUM(Language!AB46),IF(Overview!$A$1="EN",2,11))</f>
        <v>≥ 105%</v>
      </c>
      <c r="C43" s="205">
        <v>45676806.550777122</v>
      </c>
      <c r="D43" s="220">
        <v>1.6392839416005847E-2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2786387726.4715118</v>
      </c>
      <c r="D44" s="164">
        <f>SUM(D33:D43)</f>
        <v>1.0000000000000002</v>
      </c>
      <c r="E44" s="16"/>
      <c r="G44" s="16"/>
      <c r="H44" s="16"/>
      <c r="I44" s="16"/>
      <c r="J44" s="2"/>
    </row>
    <row r="46" spans="2:10" s="15" customFormat="1" x14ac:dyDescent="0.2">
      <c r="B46" s="174" t="str">
        <f>INDEX(Language!$D$2:$X$300,SUM(Language!AB49),IF(Overview!$A$1="EN",2,11))</f>
        <v>thereof LTV residential*</v>
      </c>
      <c r="C46" s="172" t="str">
        <f>INDEX(Language!$D$2:$X$300,SUM(Language!AC49),IF(Overview!$A$1="EN",3,12))</f>
        <v>volume</v>
      </c>
      <c r="D46" s="173" t="str">
        <f>INDEX(Language!$D$2:$X$300,SUM(Language!AD49),IF(Overview!$A$1="EN",4,13))</f>
        <v>%</v>
      </c>
      <c r="E46" s="16"/>
      <c r="F46" s="174" t="str">
        <f>INDEX(Language!$D$2:$X$300,SUM(Language!AF49),IF(Overview!$A$1="EN",6,15))</f>
        <v>thereof LTV commercial</v>
      </c>
      <c r="G46" s="172" t="str">
        <f>INDEX(Language!$D$2:$X$300,SUM(Language!AG49),IF(Overview!$A$1="EN",7,16))</f>
        <v>volume</v>
      </c>
      <c r="H46" s="173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205">
        <v>468418416.14548838</v>
      </c>
      <c r="D47" s="220">
        <v>0.23403260017633551</v>
      </c>
      <c r="F47" s="7" t="str">
        <f>INDEX(Language!$D$2:$X$300,SUM(Language!AF50),IF(Overview!$A$1="EN",6,15))</f>
        <v>≤ 40%</v>
      </c>
      <c r="G47" s="205">
        <v>118320208.49692652</v>
      </c>
      <c r="H47" s="220">
        <v>0.15074971908484763</v>
      </c>
    </row>
    <row r="48" spans="2:10" x14ac:dyDescent="0.2">
      <c r="B48" s="7" t="str">
        <f>INDEX(Language!$D$2:$X$300,SUM(Language!AB51),IF(Overview!$A$1="EN",2,11))</f>
        <v>40 - 50 %</v>
      </c>
      <c r="C48" s="205">
        <v>331417364.20271569</v>
      </c>
      <c r="D48" s="220">
        <v>0.16558372774109423</v>
      </c>
      <c r="F48" s="7" t="str">
        <f>INDEX(Language!$D$2:$X$300,SUM(Language!AF51),IF(Overview!$A$1="EN",6,15))</f>
        <v>40 - 50 %</v>
      </c>
      <c r="G48" s="205">
        <v>108935691.27536193</v>
      </c>
      <c r="H48" s="220">
        <v>0.13879306896675284</v>
      </c>
    </row>
    <row r="49" spans="1:10" x14ac:dyDescent="0.2">
      <c r="B49" s="7" t="str">
        <f>INDEX(Language!$D$2:$X$300,SUM(Language!AB52),IF(Overview!$A$1="EN",2,11))</f>
        <v>50 - 60 %</v>
      </c>
      <c r="C49" s="205">
        <v>393637239.64950025</v>
      </c>
      <c r="D49" s="220">
        <v>0.19667020669143509</v>
      </c>
      <c r="F49" s="7" t="str">
        <f>INDEX(Language!$D$2:$X$300,SUM(Language!AF52),IF(Overview!$A$1="EN",6,15))</f>
        <v>50 - 60 %</v>
      </c>
      <c r="G49" s="205">
        <v>261796775.61045229</v>
      </c>
      <c r="H49" s="220">
        <v>0.33355071700722821</v>
      </c>
    </row>
    <row r="50" spans="1:10" x14ac:dyDescent="0.2">
      <c r="B50" s="7" t="str">
        <f>INDEX(Language!$D$2:$X$300,SUM(Language!AB53),IF(Overview!$A$1="EN",2,11))</f>
        <v>60 - 70 %</v>
      </c>
      <c r="C50" s="205">
        <v>393076126.60356975</v>
      </c>
      <c r="D50" s="220">
        <v>0.19638986172504247</v>
      </c>
      <c r="F50" s="7" t="str">
        <f>INDEX(Language!$D$2:$X$300,SUM(Language!AF53),IF(Overview!$A$1="EN",6,15))</f>
        <v>60 - 70 %</v>
      </c>
      <c r="G50" s="205">
        <v>227178400.24000001</v>
      </c>
      <c r="H50" s="220">
        <v>0.28944404724586575</v>
      </c>
    </row>
    <row r="51" spans="1:10" x14ac:dyDescent="0.2">
      <c r="B51" s="7" t="str">
        <f>INDEX(Language!$D$2:$X$300,SUM(Language!AB54),IF(Overview!$A$1="EN",2,11))</f>
        <v>70 - 80 %</v>
      </c>
      <c r="C51" s="205">
        <v>198902999.62970164</v>
      </c>
      <c r="D51" s="220">
        <v>9.9376507374026146E-2</v>
      </c>
      <c r="F51" s="7" t="str">
        <f>INDEX(Language!$D$2:$X$300,SUM(Language!AF54),IF(Overview!$A$1="EN",6,15))</f>
        <v>70 - 80 %</v>
      </c>
      <c r="G51" s="205">
        <v>23030966.467799012</v>
      </c>
      <c r="H51" s="220">
        <v>2.9343353678787956E-2</v>
      </c>
    </row>
    <row r="52" spans="1:10" x14ac:dyDescent="0.2">
      <c r="B52" s="7" t="str">
        <f>INDEX(Language!$D$2:$X$300,SUM(Language!AB55),IF(Overview!$A$1="EN",2,11))</f>
        <v>80 - 85 %</v>
      </c>
      <c r="C52" s="205">
        <v>64539948.235704161</v>
      </c>
      <c r="D52" s="220">
        <v>3.2245640607256945E-2</v>
      </c>
      <c r="F52" s="7" t="str">
        <f>INDEX(Language!$D$2:$X$300,SUM(Language!AF55),IF(Overview!$A$1="EN",6,15))</f>
        <v>80 - 85 %</v>
      </c>
      <c r="G52" s="205">
        <v>12321300</v>
      </c>
      <c r="H52" s="220">
        <v>1.5698353961304774E-2</v>
      </c>
    </row>
    <row r="53" spans="1:10" x14ac:dyDescent="0.2">
      <c r="B53" s="7" t="str">
        <f>INDEX(Language!$D$2:$X$300,SUM(Language!AB56),IF(Overview!$A$1="EN",2,11))</f>
        <v>85 - 90 %</v>
      </c>
      <c r="C53" s="205">
        <v>59939718.235254049</v>
      </c>
      <c r="D53" s="220">
        <v>2.9947260032740553E-2</v>
      </c>
      <c r="F53" s="7" t="str">
        <f>INDEX(Language!$D$2:$X$300,SUM(Language!AF56),IF(Overview!$A$1="EN",6,15))</f>
        <v>85 - 90 %</v>
      </c>
      <c r="G53" s="205">
        <v>11164351.300000001</v>
      </c>
      <c r="H53" s="220">
        <v>1.4224305751483457E-2</v>
      </c>
    </row>
    <row r="54" spans="1:10" x14ac:dyDescent="0.2">
      <c r="B54" s="7" t="str">
        <f>INDEX(Language!$D$2:$X$300,SUM(Language!AB57),IF(Overview!$A$1="EN",2,11))</f>
        <v>90 - 95%</v>
      </c>
      <c r="C54" s="205">
        <v>27928774.39927496</v>
      </c>
      <c r="D54" s="220">
        <v>1.3953857207805568E-2</v>
      </c>
      <c r="F54" s="7" t="str">
        <f>INDEX(Language!$D$2:$X$300,SUM(Language!AF57),IF(Overview!$A$1="EN",6,15))</f>
        <v>90 - 95%</v>
      </c>
      <c r="G54" s="205">
        <v>3105700</v>
      </c>
      <c r="H54" s="220">
        <v>3.956918336346346E-3</v>
      </c>
    </row>
    <row r="55" spans="1:10" x14ac:dyDescent="0.2">
      <c r="B55" s="7" t="str">
        <f>INDEX(Language!$D$2:$X$300,SUM(Language!AB58),IF(Overview!$A$1="EN",2,11))</f>
        <v>95 - 100%</v>
      </c>
      <c r="C55" s="205">
        <v>19891968.389338881</v>
      </c>
      <c r="D55" s="220">
        <v>9.9384843215398182E-3</v>
      </c>
      <c r="F55" s="7" t="str">
        <f>INDEX(Language!$D$2:$X$300,SUM(Language!AF58),IF(Overview!$A$1="EN",6,15))</f>
        <v>95 - 100%</v>
      </c>
      <c r="G55" s="205">
        <v>5038200</v>
      </c>
      <c r="H55" s="220">
        <v>6.4190829642850758E-3</v>
      </c>
    </row>
    <row r="56" spans="1:10" x14ac:dyDescent="0.2">
      <c r="B56" s="7" t="str">
        <f>INDEX(Language!$D$2:$X$300,SUM(Language!AB59),IF(Overview!$A$1="EN",2,11))</f>
        <v>100 - 105%</v>
      </c>
      <c r="C56" s="205">
        <v>11899971.03964765</v>
      </c>
      <c r="D56" s="220">
        <v>5.9454988711776626E-3</v>
      </c>
      <c r="F56" s="7" t="str">
        <f>INDEX(Language!$D$2:$X$300,SUM(Language!AF59),IF(Overview!$A$1="EN",6,15))</f>
        <v>100 - 105%</v>
      </c>
      <c r="G56" s="205">
        <v>166800</v>
      </c>
      <c r="H56" s="220">
        <v>2.1251697797680733E-4</v>
      </c>
    </row>
    <row r="57" spans="1:10" x14ac:dyDescent="0.2">
      <c r="B57" s="7" t="str">
        <f>INDEX(Language!$D$2:$X$300,SUM(Language!AB60),IF(Overview!$A$1="EN",2,11))</f>
        <v>≥ 105%</v>
      </c>
      <c r="C57" s="205">
        <v>31856732.404462371</v>
      </c>
      <c r="D57" s="220">
        <v>1.5916355251545892E-2</v>
      </c>
      <c r="F57" s="7" t="str">
        <f>INDEX(Language!$D$2:$X$300,SUM(Language!AF60),IF(Overview!$A$1="EN",6,15))</f>
        <v>≥ 105%</v>
      </c>
      <c r="G57" s="205">
        <v>13820074.146314749</v>
      </c>
      <c r="H57" s="220">
        <v>1.7607916025121198E-2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2001509258.9346581</v>
      </c>
      <c r="D58" s="164">
        <f>SUM(D47:D57)</f>
        <v>0.99999999999999989</v>
      </c>
      <c r="E58" s="16"/>
      <c r="F58" s="11" t="str">
        <f>INDEX(Language!$D$2:$X$300,SUM(Language!AF61),IF(Overview!$A$1="EN",6,15))</f>
        <v>Total</v>
      </c>
      <c r="G58" s="69">
        <f>SUM(G47:G57)</f>
        <v>784878467.53685451</v>
      </c>
      <c r="H58" s="164">
        <f>SUM(H47:H57)</f>
        <v>1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6" t="str">
        <f>INDEX(Language!$D$2:$X$300,SUM(Language!AB66),IF(Overview!$A$1="EN",2,11))</f>
        <v xml:space="preserve">Regional distribution </v>
      </c>
      <c r="C63" s="172" t="str">
        <f>INDEX(Language!$D$2:$X$300,SUM(Language!AC66),IF(Overview!$A$1="EN",3,12))</f>
        <v>volume</v>
      </c>
      <c r="D63" s="173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2786387726.4715123</v>
      </c>
      <c r="D64" s="164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205">
        <v>2329822234.4215121</v>
      </c>
      <c r="D65" s="162">
        <f t="shared" ref="D65:D92" si="0">IF(($C$99=0),0,(C65/$C$99))</f>
        <v>0.8361443069417468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205">
        <v>16358907.23</v>
      </c>
      <c r="D66" s="162">
        <f t="shared" si="0"/>
        <v>5.8710089319535521E-3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1">
        <v>0</v>
      </c>
      <c r="D67" s="162">
        <f t="shared" si="0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1">
        <v>0</v>
      </c>
      <c r="D68" s="162">
        <f t="shared" si="0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1">
        <v>0</v>
      </c>
      <c r="D69" s="162">
        <f t="shared" si="0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1">
        <v>0</v>
      </c>
      <c r="D70" s="162">
        <f t="shared" si="0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1">
        <v>0</v>
      </c>
      <c r="D71" s="162">
        <f t="shared" si="0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1">
        <v>0</v>
      </c>
      <c r="D72" s="162">
        <f t="shared" si="0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1">
        <v>0</v>
      </c>
      <c r="D73" s="162">
        <f t="shared" si="0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1">
        <v>0</v>
      </c>
      <c r="D74" s="162">
        <f t="shared" si="0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205">
        <v>270763641.79000002</v>
      </c>
      <c r="D75" s="162">
        <f t="shared" si="0"/>
        <v>9.7173713197795442E-2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1">
        <v>0</v>
      </c>
      <c r="D76" s="162">
        <f t="shared" si="0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1">
        <v>0</v>
      </c>
      <c r="D77" s="162">
        <f t="shared" si="0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1">
        <v>0</v>
      </c>
      <c r="D78" s="162">
        <f t="shared" si="0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1">
        <v>0</v>
      </c>
      <c r="D79" s="162">
        <f t="shared" si="0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1">
        <v>0</v>
      </c>
      <c r="D80" s="162">
        <f t="shared" si="0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1">
        <v>0</v>
      </c>
      <c r="D81" s="162">
        <f t="shared" si="0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1">
        <v>0</v>
      </c>
      <c r="D82" s="162">
        <f t="shared" si="0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1">
        <v>0</v>
      </c>
      <c r="D83" s="162">
        <f t="shared" si="0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1">
        <v>0</v>
      </c>
      <c r="D84" s="162">
        <f t="shared" si="0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1">
        <v>0</v>
      </c>
      <c r="D85" s="162">
        <f t="shared" si="0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1">
        <v>0</v>
      </c>
      <c r="D86" s="162">
        <f t="shared" si="0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1">
        <v>0</v>
      </c>
      <c r="D87" s="162">
        <f t="shared" si="0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1">
        <v>0</v>
      </c>
      <c r="D88" s="162">
        <f t="shared" si="0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1">
        <v>0</v>
      </c>
      <c r="D89" s="162">
        <f t="shared" si="0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1">
        <v>0</v>
      </c>
      <c r="D90" s="162">
        <f t="shared" si="0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205">
        <v>169442943.03</v>
      </c>
      <c r="D91" s="162">
        <f t="shared" si="0"/>
        <v>6.0810970928504182E-2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1">
        <v>0</v>
      </c>
      <c r="D92" s="162">
        <f t="shared" si="0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0">
        <f>SUM(C94:C96)</f>
        <v>0</v>
      </c>
      <c r="D93" s="164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1">
        <v>0</v>
      </c>
      <c r="D94" s="162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1">
        <v>0</v>
      </c>
      <c r="D95" s="162">
        <f t="shared" ref="D95:D98" si="1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1">
        <v>0</v>
      </c>
      <c r="D96" s="162">
        <f t="shared" si="1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0">
        <v>0</v>
      </c>
      <c r="D97" s="164">
        <f t="shared" si="1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0">
        <v>0</v>
      </c>
      <c r="D98" s="164">
        <f t="shared" si="1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2786387726.4715123</v>
      </c>
      <c r="D99" s="164">
        <f>D64+D93+D97+D98</f>
        <v>1</v>
      </c>
      <c r="I99" s="2"/>
    </row>
    <row r="100" spans="2:9" x14ac:dyDescent="0.2">
      <c r="I100" s="2"/>
    </row>
    <row r="101" spans="2:9" x14ac:dyDescent="0.2">
      <c r="B101" s="174" t="str">
        <f>INDEX(Language!$D$2:$X$300,SUM(Language!AB104),IF(Overview!$A$1="EN",2,11))</f>
        <v>Regional distribution in Austria</v>
      </c>
      <c r="C101" s="166"/>
      <c r="D101" s="166"/>
      <c r="E101" s="165"/>
      <c r="F101" s="165"/>
      <c r="G101" s="165"/>
      <c r="H101" s="177"/>
      <c r="I101" s="2"/>
    </row>
    <row r="102" spans="2:9" ht="15" customHeight="1" x14ac:dyDescent="0.2">
      <c r="B102" s="178"/>
      <c r="C102" s="169" t="str">
        <f>INDEX(Language!$D$2:$X$300,SUM(Language!AC105),IF(Overview!$A$1="EN",3,12))</f>
        <v>volume</v>
      </c>
      <c r="D102" s="168"/>
      <c r="E102" s="168"/>
      <c r="F102" s="169" t="str">
        <f>INDEX(Language!$D$2:$X$300,SUM(Language!AF105),IF(Overview!$A$1="EN",6,15))</f>
        <v>Share in AT</v>
      </c>
      <c r="G102" s="244" t="str">
        <f>INDEX(Language!$D$2:$X$300,SUM(Language!AG105),IF(Overview!$A$1="EN",7,16))</f>
        <v>Share in total</v>
      </c>
      <c r="H102" s="245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205"/>
      <c r="D103" s="206"/>
      <c r="E103" s="206"/>
      <c r="F103" s="219">
        <v>0</v>
      </c>
      <c r="G103" s="234">
        <v>0</v>
      </c>
      <c r="H103" s="235"/>
      <c r="I103" s="2"/>
    </row>
    <row r="104" spans="2:9" ht="15" customHeight="1" x14ac:dyDescent="0.2">
      <c r="B104" s="7" t="s">
        <v>249</v>
      </c>
      <c r="C104" s="205">
        <v>659046148.03509998</v>
      </c>
      <c r="D104" s="206"/>
      <c r="E104" s="206"/>
      <c r="F104" s="219">
        <v>0.28287400570659371</v>
      </c>
      <c r="G104" s="234">
        <v>0.23652348945337562</v>
      </c>
      <c r="H104" s="235"/>
      <c r="I104" s="2"/>
    </row>
    <row r="105" spans="2:9" ht="15" customHeight="1" x14ac:dyDescent="0.2">
      <c r="B105" s="7" t="s">
        <v>250</v>
      </c>
      <c r="C105" s="205">
        <v>1429172807.166451</v>
      </c>
      <c r="D105" s="206"/>
      <c r="E105" s="206"/>
      <c r="F105" s="219">
        <v>0.61342568804237962</v>
      </c>
      <c r="G105" s="234">
        <v>0.5129123967884599</v>
      </c>
      <c r="H105" s="235"/>
      <c r="I105" s="2"/>
    </row>
    <row r="106" spans="2:9" ht="15" customHeight="1" x14ac:dyDescent="0.2">
      <c r="B106" s="7" t="s">
        <v>251</v>
      </c>
      <c r="C106" s="205">
        <v>62106512.776268281</v>
      </c>
      <c r="D106" s="206"/>
      <c r="E106" s="206"/>
      <c r="F106" s="219">
        <v>2.6657189487973583E-2</v>
      </c>
      <c r="G106" s="234">
        <v>2.2289257229436497E-2</v>
      </c>
      <c r="H106" s="235"/>
      <c r="I106" s="2"/>
    </row>
    <row r="107" spans="2:9" ht="15" customHeight="1" x14ac:dyDescent="0.2">
      <c r="B107" s="7" t="s">
        <v>84</v>
      </c>
      <c r="C107" s="205">
        <v>3185828.02063782</v>
      </c>
      <c r="D107" s="206"/>
      <c r="E107" s="206"/>
      <c r="F107" s="219">
        <v>1.3674124890600721E-3</v>
      </c>
      <c r="G107" s="234">
        <v>1.1433541679686232E-3</v>
      </c>
      <c r="H107" s="235"/>
      <c r="I107" s="2"/>
    </row>
    <row r="108" spans="2:9" ht="15" customHeight="1" x14ac:dyDescent="0.2">
      <c r="B108" s="7" t="s">
        <v>252</v>
      </c>
      <c r="C108" s="205">
        <v>14768541.67935642</v>
      </c>
      <c r="D108" s="206"/>
      <c r="E108" s="206"/>
      <c r="F108" s="219">
        <v>6.3389135278912809E-3</v>
      </c>
      <c r="G108" s="234">
        <v>5.3002464585423202E-3</v>
      </c>
      <c r="H108" s="235"/>
      <c r="I108" s="2"/>
    </row>
    <row r="109" spans="2:9" ht="15" customHeight="1" x14ac:dyDescent="0.2">
      <c r="B109" s="7" t="s">
        <v>253</v>
      </c>
      <c r="C109" s="205">
        <v>82510059.392510876</v>
      </c>
      <c r="D109" s="206"/>
      <c r="E109" s="206"/>
      <c r="F109" s="219">
        <v>3.5414744598743109E-2</v>
      </c>
      <c r="G109" s="234">
        <v>2.9611837078035035E-2</v>
      </c>
      <c r="H109" s="235"/>
      <c r="I109" s="2"/>
    </row>
    <row r="110" spans="2:9" ht="15" customHeight="1" x14ac:dyDescent="0.2">
      <c r="B110" s="7" t="s">
        <v>254</v>
      </c>
      <c r="C110" s="205">
        <v>5441662.6307652202</v>
      </c>
      <c r="D110" s="206"/>
      <c r="E110" s="206"/>
      <c r="F110" s="219">
        <v>2.3356557210109921E-3</v>
      </c>
      <c r="G110" s="234">
        <v>1.9529452340992627E-3</v>
      </c>
      <c r="H110" s="235"/>
      <c r="I110" s="2"/>
    </row>
    <row r="111" spans="2:9" ht="15" customHeight="1" x14ac:dyDescent="0.2">
      <c r="B111" s="7" t="s">
        <v>88</v>
      </c>
      <c r="C111" s="205">
        <v>71382879.170422584</v>
      </c>
      <c r="D111" s="206"/>
      <c r="E111" s="206"/>
      <c r="F111" s="219">
        <v>3.0638766389894424E-2</v>
      </c>
      <c r="G111" s="234">
        <v>2.561843008862837E-2</v>
      </c>
      <c r="H111" s="235"/>
      <c r="I111" s="2"/>
    </row>
    <row r="112" spans="2:9" ht="15" customHeight="1" x14ac:dyDescent="0.2">
      <c r="B112" s="7" t="s">
        <v>89</v>
      </c>
      <c r="C112" s="205">
        <v>2207795.5499999998</v>
      </c>
      <c r="D112" s="206"/>
      <c r="E112" s="206"/>
      <c r="F112" s="219">
        <v>9.4762403645280171E-4</v>
      </c>
      <c r="G112" s="234">
        <v>7.9235044320116873E-4</v>
      </c>
      <c r="H112" s="235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2329822234.4215131</v>
      </c>
      <c r="D113" s="179"/>
      <c r="E113" s="179"/>
      <c r="F113" s="163">
        <f>SUM(F103:F112)</f>
        <v>0.99999999999999956</v>
      </c>
      <c r="G113" s="238">
        <f>SUM(G103:H112)</f>
        <v>0.83614430694174691</v>
      </c>
      <c r="H113" s="239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36" t="str">
        <f>INDEX(Language!$D$2:$X$300,SUM(Language!AB120),IF(Overview!$A$1="EN",2,11))</f>
        <v>Primary cover pool by use of property</v>
      </c>
      <c r="C117" s="237">
        <f>INDEX(Language!$D$2:$X$300,SUM(Language!AC120),IF(Overview!$A$1="EN",3,12))</f>
        <v>0</v>
      </c>
      <c r="D117" s="172"/>
      <c r="E117" s="172"/>
      <c r="F117" s="172" t="str">
        <f>INDEX(Language!$D$2:$X$300,SUM(Language!AF120),IF(Overview!$A$1="EN",6,15))</f>
        <v>volume</v>
      </c>
      <c r="G117" s="242" t="str">
        <f>INDEX(Language!$D$2:$X$300,SUM(Language!AG120),IF(Overview!$A$1="EN",7,16))</f>
        <v>%</v>
      </c>
      <c r="H117" s="243">
        <f>INDEX(Language!$D$2:$X$300,SUM(Language!AH120),IF(Overview!$A$1="EN",8,17))</f>
        <v>0</v>
      </c>
    </row>
    <row r="118" spans="1:9" ht="15" customHeight="1" x14ac:dyDescent="0.2">
      <c r="B118" s="236" t="str">
        <f>INDEX(Language!$D$2:$X$300,SUM(Language!AB121),IF(Overview!$A$1="EN",2,11))</f>
        <v>Residential</v>
      </c>
      <c r="C118" s="237">
        <f>INDEX(Language!$D$2:$X$300,SUM(Language!AC121),IF(Overview!$A$1="EN",3,12))</f>
        <v>0</v>
      </c>
      <c r="D118" s="8"/>
      <c r="E118" s="8"/>
      <c r="F118" s="207">
        <v>2001509258.9346581</v>
      </c>
      <c r="G118" s="240">
        <f>SUM(G119:H121)</f>
        <v>0.71831685157084368</v>
      </c>
      <c r="H118" s="241"/>
    </row>
    <row r="119" spans="1:9" ht="15" customHeight="1" x14ac:dyDescent="0.2">
      <c r="B119" s="228" t="str">
        <f>INDEX(Language!$D$2:$X$300,SUM(Language!AB122),IF(Overview!$A$1="EN",2,11))</f>
        <v xml:space="preserve">   thereof private use, incl. Multi-family housing</v>
      </c>
      <c r="C119" s="229">
        <f>INDEX(Language!$D$2:$X$300,SUM(Language!AC122),IF(Overview!$A$1="EN",3,12))</f>
        <v>0</v>
      </c>
      <c r="D119" s="8"/>
      <c r="E119" s="8"/>
      <c r="F119" s="205">
        <v>1093967838.33652</v>
      </c>
      <c r="G119" s="234">
        <f>IF(($F$130=0),0,(F119/$F$130))</f>
        <v>0.39261149047689953</v>
      </c>
      <c r="H119" s="235"/>
    </row>
    <row r="120" spans="1:9" ht="12.75" customHeight="1" x14ac:dyDescent="0.2">
      <c r="B120" s="228" t="str">
        <f>INDEX(Language!$D$2:$X$300,SUM(Language!AB123),IF(Overview!$A$1="EN",2,11))</f>
        <v xml:space="preserve">   thereof non-profit housing association</v>
      </c>
      <c r="C120" s="229">
        <f>INDEX(Language!$D$2:$X$300,SUM(Language!AC123),IF(Overview!$A$1="EN",3,12))</f>
        <v>0</v>
      </c>
      <c r="D120" s="8"/>
      <c r="E120" s="8"/>
      <c r="F120" s="205">
        <v>809602257.89571238</v>
      </c>
      <c r="G120" s="234">
        <f t="shared" ref="G120:G129" si="2">IF(($F$130=0),0,(F120/$F$130))</f>
        <v>0.29055621018002992</v>
      </c>
      <c r="H120" s="235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205">
        <v>97939162.702425644</v>
      </c>
      <c r="G121" s="234">
        <f t="shared" si="2"/>
        <v>3.5149150913914261E-2</v>
      </c>
      <c r="H121" s="235"/>
    </row>
    <row r="122" spans="1:9" x14ac:dyDescent="0.2">
      <c r="B122" s="236" t="str">
        <f>INDEX(Language!$D$2:$X$300,SUM(Language!AB125),IF(Overview!$A$1="EN",2,11))</f>
        <v>Commercial real estate</v>
      </c>
      <c r="C122" s="237">
        <f>INDEX(Language!$D$2:$X$300,SUM(Language!AC125),IF(Overview!$A$1="EN",3,12))</f>
        <v>0</v>
      </c>
      <c r="D122" s="8"/>
      <c r="E122" s="8"/>
      <c r="F122" s="207">
        <v>784878467.53685439</v>
      </c>
      <c r="G122" s="240">
        <f>SUM(G123:H129)</f>
        <v>0.28168314842915637</v>
      </c>
      <c r="H122" s="241"/>
    </row>
    <row r="123" spans="1:9" x14ac:dyDescent="0.2">
      <c r="B123" s="228" t="str">
        <f>INDEX(Language!$D$2:$X$300,SUM(Language!AB126),IF(Overview!$A$1="EN",2,11))</f>
        <v xml:space="preserve">   thereof Retail</v>
      </c>
      <c r="C123" s="229">
        <f>INDEX(Language!$D$2:$X$300,SUM(Language!AC126),IF(Overview!$A$1="EN",3,12))</f>
        <v>0</v>
      </c>
      <c r="D123" s="8"/>
      <c r="E123" s="8"/>
      <c r="F123" s="205">
        <v>121100308.73804778</v>
      </c>
      <c r="G123" s="234">
        <f t="shared" si="2"/>
        <v>4.3461398996111997E-2</v>
      </c>
      <c r="H123" s="235"/>
    </row>
    <row r="124" spans="1:9" x14ac:dyDescent="0.2">
      <c r="B124" s="228" t="str">
        <f>INDEX(Language!$D$2:$X$300,SUM(Language!AB127),IF(Overview!$A$1="EN",2,11))</f>
        <v xml:space="preserve">   thereof Office</v>
      </c>
      <c r="C124" s="229">
        <f>INDEX(Language!$D$2:$X$300,SUM(Language!AC127),IF(Overview!$A$1="EN",3,12))</f>
        <v>0</v>
      </c>
      <c r="D124" s="8"/>
      <c r="E124" s="8"/>
      <c r="F124" s="205">
        <v>210413764.57583809</v>
      </c>
      <c r="G124" s="234">
        <f t="shared" si="2"/>
        <v>7.5514890686907907E-2</v>
      </c>
      <c r="H124" s="235"/>
    </row>
    <row r="125" spans="1:9" x14ac:dyDescent="0.2">
      <c r="B125" s="228" t="str">
        <f>INDEX(Language!$D$2:$X$300,SUM(Language!AB128),IF(Overview!$A$1="EN",2,11))</f>
        <v xml:space="preserve">   thereof Tourism/ hotel</v>
      </c>
      <c r="C125" s="229">
        <f>INDEX(Language!$D$2:$X$300,SUM(Language!AC128),IF(Overview!$A$1="EN",3,12))</f>
        <v>0</v>
      </c>
      <c r="D125" s="8"/>
      <c r="E125" s="8"/>
      <c r="F125" s="205">
        <v>92363519.893035725</v>
      </c>
      <c r="G125" s="234">
        <f t="shared" si="2"/>
        <v>3.3148121855244628E-2</v>
      </c>
      <c r="H125" s="235"/>
    </row>
    <row r="126" spans="1:9" x14ac:dyDescent="0.2">
      <c r="B126" s="228" t="str">
        <f>INDEX(Language!$D$2:$X$300,SUM(Language!AB129),IF(Overview!$A$1="EN",2,11))</f>
        <v xml:space="preserve">   thereof Agriculture</v>
      </c>
      <c r="C126" s="229">
        <f>INDEX(Language!$D$2:$X$300,SUM(Language!AC129),IF(Overview!$A$1="EN",3,12))</f>
        <v>0</v>
      </c>
      <c r="D126" s="8"/>
      <c r="E126" s="8"/>
      <c r="F126" s="205">
        <v>18383886.251243889</v>
      </c>
      <c r="G126" s="234">
        <f t="shared" si="2"/>
        <v>6.5977487901599267E-3</v>
      </c>
      <c r="H126" s="235"/>
    </row>
    <row r="127" spans="1:9" x14ac:dyDescent="0.2">
      <c r="B127" s="228" t="str">
        <f>INDEX(Language!$D$2:$X$300,SUM(Language!AB130),IF(Overview!$A$1="EN",2,11))</f>
        <v xml:space="preserve">   thereof Industrial</v>
      </c>
      <c r="C127" s="229">
        <f>INDEX(Language!$D$2:$X$300,SUM(Language!AC130),IF(Overview!$A$1="EN",3,12))</f>
        <v>0</v>
      </c>
      <c r="D127" s="8"/>
      <c r="E127" s="8"/>
      <c r="F127" s="205">
        <v>245277786.35964569</v>
      </c>
      <c r="G127" s="234">
        <f t="shared" si="2"/>
        <v>8.8027155743414229E-2</v>
      </c>
      <c r="H127" s="235"/>
    </row>
    <row r="128" spans="1:9" x14ac:dyDescent="0.2">
      <c r="B128" s="228" t="str">
        <f>INDEX(Language!$D$2:$X$300,SUM(Language!AB131),IF(Overview!$A$1="EN",2,11))</f>
        <v xml:space="preserve">   Mixed use</v>
      </c>
      <c r="C128" s="229">
        <f>INDEX(Language!$D$2:$X$300,SUM(Language!AC131),IF(Overview!$A$1="EN",3,12))</f>
        <v>0</v>
      </c>
      <c r="D128" s="8"/>
      <c r="E128" s="8"/>
      <c r="F128" s="205">
        <v>61560326.273466162</v>
      </c>
      <c r="G128" s="234">
        <f t="shared" si="2"/>
        <v>2.2093237667042798E-2</v>
      </c>
      <c r="H128" s="235"/>
    </row>
    <row r="129" spans="1:10" x14ac:dyDescent="0.2">
      <c r="B129" s="228" t="str">
        <f>INDEX(Language!$D$2:$X$300,SUM(Language!AB132),IF(Overview!$A$1="EN",2,11))</f>
        <v xml:space="preserve">   Other</v>
      </c>
      <c r="C129" s="229">
        <f>INDEX(Language!$D$2:$X$300,SUM(Language!AC132),IF(Overview!$A$1="EN",3,12))</f>
        <v>0</v>
      </c>
      <c r="D129" s="8"/>
      <c r="E129" s="8"/>
      <c r="F129" s="205">
        <v>35778875.445577189</v>
      </c>
      <c r="G129" s="234">
        <f t="shared" si="2"/>
        <v>1.2840594690274878E-2</v>
      </c>
      <c r="H129" s="235"/>
    </row>
    <row r="130" spans="1:10" ht="15" customHeight="1" x14ac:dyDescent="0.2">
      <c r="B130" s="236" t="str">
        <f>INDEX(Language!$D$2:$X$300,SUM(Language!AB133),IF(Overview!$A$1="EN",2,11))</f>
        <v>Total</v>
      </c>
      <c r="C130" s="237">
        <f>INDEX(Language!$D$2:$X$300,SUM(Language!AC133),IF(Overview!$A$1="EN",3,12))</f>
        <v>0</v>
      </c>
      <c r="D130" s="141"/>
      <c r="E130" s="141"/>
      <c r="F130" s="69">
        <f>F118+F122</f>
        <v>2786387726.4715123</v>
      </c>
      <c r="G130" s="238">
        <f>G118+G122</f>
        <v>1</v>
      </c>
      <c r="H130" s="239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0" t="str">
        <f>INDEX(Language!$D$2:$X$300,SUM(Language!AB137),IF(Overview!$A$1="EN",2,11))</f>
        <v>WA seasoning (in years)</v>
      </c>
      <c r="C134" s="181"/>
      <c r="D134" s="181"/>
      <c r="E134" s="181"/>
      <c r="F134" s="181"/>
      <c r="G134" s="232">
        <v>4.34512096</v>
      </c>
      <c r="H134" s="233"/>
      <c r="J134" s="51"/>
    </row>
    <row r="136" spans="1:10" x14ac:dyDescent="0.2">
      <c r="B136" s="174" t="str">
        <f>INDEX(Language!$D$2:$X$300,SUM(Language!AB139),IF(Overview!$A$1="EN",2,11))</f>
        <v>Seasoning consolidated</v>
      </c>
      <c r="C136" s="166" t="str">
        <f>INDEX(Language!$D$2:$X$300,SUM(Language!AC139),IF(Overview!$A$1="EN",3,12))</f>
        <v>volume</v>
      </c>
      <c r="D136" s="167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205">
        <v>434008383.64999998</v>
      </c>
      <c r="D137" s="220">
        <v>0.15576022659258482</v>
      </c>
    </row>
    <row r="138" spans="1:10" x14ac:dyDescent="0.2">
      <c r="B138" s="7" t="str">
        <f>INDEX(Language!$D$2:$X$300,SUM(Language!AB141),IF(Overview!$A$1="EN",2,11))</f>
        <v>12 - 36 months</v>
      </c>
      <c r="C138" s="205">
        <v>1172079726.53</v>
      </c>
      <c r="D138" s="220">
        <v>0.4206448784549594</v>
      </c>
    </row>
    <row r="139" spans="1:10" x14ac:dyDescent="0.2">
      <c r="B139" s="7" t="str">
        <f>INDEX(Language!$D$2:$X$300,SUM(Language!AB142),IF(Overview!$A$1="EN",2,11))</f>
        <v>36 - 60 months</v>
      </c>
      <c r="C139" s="205">
        <v>391920393.54000002</v>
      </c>
      <c r="D139" s="220">
        <v>0.14065536889092631</v>
      </c>
    </row>
    <row r="140" spans="1:10" x14ac:dyDescent="0.2">
      <c r="B140" s="7" t="str">
        <f>INDEX(Language!$D$2:$X$300,SUM(Language!AB143),IF(Overview!$A$1="EN",2,11))</f>
        <v>60 - 120 months</v>
      </c>
      <c r="C140" s="205">
        <v>429029451.11000001</v>
      </c>
      <c r="D140" s="220">
        <v>0.15397334944957322</v>
      </c>
    </row>
    <row r="141" spans="1:10" x14ac:dyDescent="0.2">
      <c r="B141" s="7" t="str">
        <f>INDEX(Language!$D$2:$X$300,SUM(Language!AB144),IF(Overview!$A$1="EN",2,11))</f>
        <v>≥ 120 months</v>
      </c>
      <c r="C141" s="205">
        <v>359349771.64151233</v>
      </c>
      <c r="D141" s="220">
        <v>0.12896617661195625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2786387726.4715123</v>
      </c>
      <c r="D142" s="182">
        <f>SUM(D137:D141)</f>
        <v>1</v>
      </c>
    </row>
    <row r="144" spans="1:10" x14ac:dyDescent="0.2">
      <c r="B144" s="174" t="str">
        <f>INDEX(Language!$D$2:$X$300,SUM(Language!AB147),IF(Overview!$A$1="EN",2,11))</f>
        <v>Seasoning residential*</v>
      </c>
      <c r="C144" s="166" t="str">
        <f>INDEX(Language!$D$2:$X$300,SUM(Language!AC147),IF(Overview!$A$1="EN",3,12))</f>
        <v>volume</v>
      </c>
      <c r="D144" s="167" t="str">
        <f>INDEX(Language!$D$2:$X$300,SUM(Language!AD147),IF(Overview!$A$1="EN",4,13))</f>
        <v>%</v>
      </c>
      <c r="F144" s="174" t="str">
        <f>INDEX(Language!$D$2:$X$300,SUM(Language!AF147),IF(Overview!$A$1="EN",6,15))</f>
        <v>Seasoning commercial</v>
      </c>
      <c r="G144" s="166" t="str">
        <f>INDEX(Language!$D$2:$X$300,SUM(Language!AG147),IF(Overview!$A$1="EN",7,16))</f>
        <v>volume</v>
      </c>
      <c r="H144" s="167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205">
        <v>282563519.81612927</v>
      </c>
      <c r="D145" s="220">
        <v>0.14117522492328072</v>
      </c>
      <c r="F145" s="7" t="str">
        <f>INDEX(Language!$D$2:$X$300,SUM(Language!AF148),IF(Overview!$A$1="EN",6,15))</f>
        <v>≤ 12 months</v>
      </c>
      <c r="G145" s="205">
        <v>151444863.83387074</v>
      </c>
      <c r="H145" s="220">
        <v>0.1929532661395881</v>
      </c>
    </row>
    <row r="146" spans="1:10" x14ac:dyDescent="0.2">
      <c r="B146" s="7" t="str">
        <f>INDEX(Language!$D$2:$X$300,SUM(Language!AB149),IF(Overview!$A$1="EN",2,11))</f>
        <v>12 - 36 months</v>
      </c>
      <c r="C146" s="205">
        <v>721079195.15644109</v>
      </c>
      <c r="D146" s="220">
        <v>0.36026772893383935</v>
      </c>
      <c r="F146" s="7" t="str">
        <f>INDEX(Language!$D$2:$X$300,SUM(Language!AF149),IF(Overview!$A$1="EN",6,15))</f>
        <v>12 - 36 months</v>
      </c>
      <c r="G146" s="205">
        <v>451000531.37355894</v>
      </c>
      <c r="H146" s="220">
        <v>0.57461193041632508</v>
      </c>
    </row>
    <row r="147" spans="1:10" x14ac:dyDescent="0.2">
      <c r="B147" s="7" t="str">
        <f>INDEX(Language!$D$2:$X$300,SUM(Language!AB150),IF(Overview!$A$1="EN",2,11))</f>
        <v>36 - 60 months</v>
      </c>
      <c r="C147" s="205">
        <v>313679714.97568554</v>
      </c>
      <c r="D147" s="220">
        <v>0.15672159075729064</v>
      </c>
      <c r="F147" s="7" t="str">
        <f>INDEX(Language!$D$2:$X$300,SUM(Language!AF150),IF(Overview!$A$1="EN",6,15))</f>
        <v>36 - 60 months</v>
      </c>
      <c r="G147" s="205">
        <v>78240678.56431447</v>
      </c>
      <c r="H147" s="220">
        <v>9.9685087310209114E-2</v>
      </c>
    </row>
    <row r="148" spans="1:10" x14ac:dyDescent="0.2">
      <c r="B148" s="7" t="str">
        <f>INDEX(Language!$D$2:$X$300,SUM(Language!AB151),IF(Overview!$A$1="EN",2,11))</f>
        <v>60 - 120 months</v>
      </c>
      <c r="C148" s="205">
        <v>357830822.86611575</v>
      </c>
      <c r="D148" s="220">
        <v>0.17878049840078086</v>
      </c>
      <c r="F148" s="7" t="str">
        <f>INDEX(Language!$D$2:$X$300,SUM(Language!AF151),IF(Overview!$A$1="EN",6,15))</f>
        <v>60 - 120 months</v>
      </c>
      <c r="G148" s="205">
        <v>71198628.243884295</v>
      </c>
      <c r="H148" s="220">
        <v>9.071293351609383E-2</v>
      </c>
    </row>
    <row r="149" spans="1:10" x14ac:dyDescent="0.2">
      <c r="B149" s="7" t="str">
        <f>INDEX(Language!$D$2:$X$300,SUM(Language!AB152),IF(Overview!$A$1="EN",2,11))</f>
        <v>≥ 120 months</v>
      </c>
      <c r="C149" s="205">
        <v>326356006.12028629</v>
      </c>
      <c r="D149" s="220">
        <v>0.16305495698480835</v>
      </c>
      <c r="F149" s="7" t="str">
        <f>INDEX(Language!$D$2:$X$300,SUM(Language!AF152),IF(Overview!$A$1="EN",6,15))</f>
        <v>≥ 120 months</v>
      </c>
      <c r="G149" s="205">
        <v>32993765.521226048</v>
      </c>
      <c r="H149" s="220">
        <v>4.2036782617783819E-2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2001509258.9346581</v>
      </c>
      <c r="D150" s="164">
        <f>SUM(D145:D149)</f>
        <v>1</v>
      </c>
      <c r="F150" s="11" t="str">
        <f>INDEX(Language!$D$2:$X$300,SUM(Language!AF153),IF(Overview!$A$1="EN",6,15))</f>
        <v>Total</v>
      </c>
      <c r="G150" s="69">
        <f>SUM(G145:G149)</f>
        <v>784878467.53685451</v>
      </c>
      <c r="H150" s="194">
        <f>SUM(H145:H149)</f>
        <v>1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2"/>
      <c r="D155" s="179"/>
      <c r="E155" s="172"/>
      <c r="F155" s="179"/>
      <c r="G155" s="172"/>
      <c r="H155" s="183"/>
    </row>
    <row r="156" spans="1:10" ht="27.75" customHeight="1" x14ac:dyDescent="0.2">
      <c r="B156" s="230" t="str">
        <f>INDEX(Language!$D$2:$X$300,SUM(Language!AB159),IF(Overview!$A$1="EN",2,11))</f>
        <v>WA residual life (incl. contractural amortisation)</v>
      </c>
      <c r="C156" s="229">
        <f>INDEX(Language!$D$2:$X$300,SUM(Language!AC159),IF(Overview!$A$1="EN",3,12))</f>
        <v>0</v>
      </c>
      <c r="D156" s="229">
        <f>INDEX(Language!$D$2:$X$300,SUM(Language!AD159),IF(Overview!$A$1="EN",4,13))</f>
        <v>0</v>
      </c>
      <c r="E156" s="229">
        <f>INDEX(Language!$D$2:$X$300,SUM(Language!AE159),IF(Overview!$A$1="EN",5,14))</f>
        <v>0</v>
      </c>
      <c r="F156" s="229">
        <f>INDEX(Language!$D$2:$X$300,SUM(Language!AF159),IF(Overview!$A$1="EN",6,15))</f>
        <v>0</v>
      </c>
      <c r="G156" s="229">
        <f>INDEX(Language!$D$2:$X$300,SUM(Language!AG159),IF(Overview!$A$1="EN",7,16))</f>
        <v>0</v>
      </c>
      <c r="H156" s="208">
        <v>9.6709666500000004</v>
      </c>
    </row>
    <row r="157" spans="1:10" x14ac:dyDescent="0.2">
      <c r="B157" s="228" t="str">
        <f>INDEX(Language!$D$2:$X$300,SUM(Language!AB160),IF(Overview!$A$1="EN",2,11))</f>
        <v>WA residual life (final legal maturity)</v>
      </c>
      <c r="C157" s="229">
        <f>INDEX(Language!$D$2:$X$300,SUM(Language!AC160),IF(Overview!$A$1="EN",3,12))</f>
        <v>0</v>
      </c>
      <c r="D157" s="229">
        <f>INDEX(Language!$D$2:$X$300,SUM(Language!AD160),IF(Overview!$A$1="EN",4,13))</f>
        <v>0</v>
      </c>
      <c r="E157" s="229">
        <f>INDEX(Language!$D$2:$X$300,SUM(Language!AE160),IF(Overview!$A$1="EN",5,14))</f>
        <v>0</v>
      </c>
      <c r="F157" s="229">
        <f>INDEX(Language!$D$2:$X$300,SUM(Language!AF160),IF(Overview!$A$1="EN",6,15))</f>
        <v>0</v>
      </c>
      <c r="G157" s="229">
        <f>INDEX(Language!$D$2:$X$300,SUM(Language!AG160),IF(Overview!$A$1="EN",7,16))</f>
        <v>0</v>
      </c>
      <c r="H157" s="208">
        <v>16.374993570000001</v>
      </c>
    </row>
    <row r="158" spans="1:10" x14ac:dyDescent="0.2">
      <c r="B158" s="230" t="str">
        <f>INDEX(Language!$D$2:$X$300,SUM(Language!AB161),IF(Overview!$A$1="EN",2,11))</f>
        <v>WA residual life of issues (final legal maturity)</v>
      </c>
      <c r="C158" s="231">
        <f>INDEX(Language!$D$2:$X$300,SUM(Language!AC161),IF(Overview!$A$1="EN",3,12))</f>
        <v>0</v>
      </c>
      <c r="D158" s="231">
        <f>INDEX(Language!$D$2:$X$300,SUM(Language!AD161),IF(Overview!$A$1="EN",4,13))</f>
        <v>0</v>
      </c>
      <c r="E158" s="231">
        <f>INDEX(Language!$D$2:$X$300,SUM(Language!AE161),IF(Overview!$A$1="EN",5,14))</f>
        <v>0</v>
      </c>
      <c r="F158" s="231">
        <f>INDEX(Language!$D$2:$X$300,SUM(Language!AF161),IF(Overview!$A$1="EN",6,15))</f>
        <v>0</v>
      </c>
      <c r="G158" s="231">
        <f>INDEX(Language!$D$2:$X$300,SUM(Language!AG161),IF(Overview!$A$1="EN",7,16))</f>
        <v>0</v>
      </c>
      <c r="H158" s="208">
        <v>5.3468731800000002</v>
      </c>
    </row>
    <row r="159" spans="1:10" x14ac:dyDescent="0.2">
      <c r="H159" s="215"/>
    </row>
    <row r="160" spans="1:10" x14ac:dyDescent="0.2">
      <c r="B160" s="11" t="str">
        <f>INDEX(Language!$D$2:$X$300,SUM(Language!AB163),IF(Overview!$A$1="EN",2,11))</f>
        <v>Commercial</v>
      </c>
      <c r="C160" s="172"/>
      <c r="D160" s="179"/>
      <c r="E160" s="172"/>
      <c r="F160" s="179"/>
      <c r="G160" s="172"/>
      <c r="H160" s="216"/>
    </row>
    <row r="161" spans="2:8" ht="25.5" customHeight="1" x14ac:dyDescent="0.2">
      <c r="B161" s="230" t="str">
        <f>INDEX(Language!$D$2:$X$300,SUM(Language!AB164),IF(Overview!$A$1="EN",2,11))</f>
        <v>WA residual life (incl. contractural amortisation)</v>
      </c>
      <c r="C161" s="229">
        <f>INDEX(Language!$D$2:$X$300,SUM(Language!AC164),IF(Overview!$A$1="EN",3,12))</f>
        <v>0</v>
      </c>
      <c r="D161" s="229">
        <f>INDEX(Language!$D$2:$X$300,SUM(Language!AD164),IF(Overview!$A$1="EN",4,13))</f>
        <v>0</v>
      </c>
      <c r="E161" s="229">
        <f>INDEX(Language!$D$2:$X$300,SUM(Language!AE164),IF(Overview!$A$1="EN",5,14))</f>
        <v>0</v>
      </c>
      <c r="F161" s="229">
        <f>INDEX(Language!$D$2:$X$300,SUM(Language!AF164),IF(Overview!$A$1="EN",6,15))</f>
        <v>0</v>
      </c>
      <c r="G161" s="229">
        <f>INDEX(Language!$D$2:$X$300,SUM(Language!AG164),IF(Overview!$A$1="EN",7,16))</f>
        <v>0</v>
      </c>
      <c r="H161" s="208">
        <v>5.39429157</v>
      </c>
    </row>
    <row r="162" spans="2:8" x14ac:dyDescent="0.2">
      <c r="B162" s="228" t="str">
        <f>INDEX(Language!$D$2:$X$300,SUM(Language!AB165),IF(Overview!$A$1="EN",2,11))</f>
        <v>WA residual life (final legal maturity)</v>
      </c>
      <c r="C162" s="229">
        <f>INDEX(Language!$D$2:$X$300,SUM(Language!AC165),IF(Overview!$A$1="EN",3,12))</f>
        <v>0</v>
      </c>
      <c r="D162" s="229">
        <f>INDEX(Language!$D$2:$X$300,SUM(Language!AD165),IF(Overview!$A$1="EN",4,13))</f>
        <v>0</v>
      </c>
      <c r="E162" s="229">
        <f>INDEX(Language!$D$2:$X$300,SUM(Language!AE165),IF(Overview!$A$1="EN",5,14))</f>
        <v>0</v>
      </c>
      <c r="F162" s="229">
        <f>INDEX(Language!$D$2:$X$300,SUM(Language!AF165),IF(Overview!$A$1="EN",6,15))</f>
        <v>0</v>
      </c>
      <c r="G162" s="229">
        <f>INDEX(Language!$D$2:$X$300,SUM(Language!AG165),IF(Overview!$A$1="EN",7,16))</f>
        <v>0</v>
      </c>
      <c r="H162" s="208">
        <v>7.8481361999999999</v>
      </c>
    </row>
    <row r="163" spans="2:8" x14ac:dyDescent="0.2">
      <c r="H163" s="215"/>
    </row>
    <row r="164" spans="2:8" x14ac:dyDescent="0.2">
      <c r="B164" s="11" t="str">
        <f>INDEX(Language!$D$2:$X$300,SUM(Language!AB167),IF(Overview!$A$1="EN",2,11))</f>
        <v>Residential</v>
      </c>
      <c r="C164" s="172"/>
      <c r="D164" s="179"/>
      <c r="E164" s="172"/>
      <c r="F164" s="179"/>
      <c r="G164" s="172"/>
      <c r="H164" s="216"/>
    </row>
    <row r="165" spans="2:8" ht="25.5" customHeight="1" x14ac:dyDescent="0.2">
      <c r="B165" s="230" t="str">
        <f>INDEX(Language!$D$2:$X$300,SUM(Language!AB168),IF(Overview!$A$1="EN",2,11))</f>
        <v>WA residual life (incl. contractural amortisation)</v>
      </c>
      <c r="C165" s="229">
        <f>INDEX(Language!$D$2:$X$300,SUM(Language!AC168),IF(Overview!$A$1="EN",3,12))</f>
        <v>0</v>
      </c>
      <c r="D165" s="229">
        <f>INDEX(Language!$D$2:$X$300,SUM(Language!AD168),IF(Overview!$A$1="EN",4,13))</f>
        <v>0</v>
      </c>
      <c r="E165" s="229">
        <f>INDEX(Language!$D$2:$X$300,SUM(Language!AE168),IF(Overview!$A$1="EN",5,14))</f>
        <v>0</v>
      </c>
      <c r="F165" s="229">
        <f>INDEX(Language!$D$2:$X$300,SUM(Language!AF168),IF(Overview!$A$1="EN",6,15))</f>
        <v>0</v>
      </c>
      <c r="G165" s="229">
        <f>INDEX(Language!$D$2:$X$300,SUM(Language!AG168),IF(Overview!$A$1="EN",7,16))</f>
        <v>0</v>
      </c>
      <c r="H165" s="208">
        <v>11.348036179999999</v>
      </c>
    </row>
    <row r="166" spans="2:8" x14ac:dyDescent="0.2">
      <c r="B166" s="228" t="str">
        <f>INDEX(Language!$D$2:$X$300,SUM(Language!AB169),IF(Overview!$A$1="EN",2,11))</f>
        <v>WA residual life (final legal maturity)</v>
      </c>
      <c r="C166" s="229">
        <f>INDEX(Language!$D$2:$X$300,SUM(Language!AC169),IF(Overview!$A$1="EN",3,12))</f>
        <v>0</v>
      </c>
      <c r="D166" s="229">
        <f>INDEX(Language!$D$2:$X$300,SUM(Language!AD169),IF(Overview!$A$1="EN",4,13))</f>
        <v>0</v>
      </c>
      <c r="E166" s="229">
        <f>INDEX(Language!$D$2:$X$300,SUM(Language!AE169),IF(Overview!$A$1="EN",5,14))</f>
        <v>0</v>
      </c>
      <c r="F166" s="229">
        <f>INDEX(Language!$D$2:$X$300,SUM(Language!AF169),IF(Overview!$A$1="EN",6,15))</f>
        <v>0</v>
      </c>
      <c r="G166" s="229">
        <f>INDEX(Language!$D$2:$X$300,SUM(Language!AG169),IF(Overview!$A$1="EN",7,16))</f>
        <v>0</v>
      </c>
      <c r="H166" s="208">
        <v>19.71874365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4" t="str">
        <f>INDEX(Language!$D$2:$X$300,SUM(Language!AB172),IF(Overview!$A$1="EN",2,11))</f>
        <v>Primary cover pool</v>
      </c>
      <c r="C169" s="166" t="str">
        <f>INDEX(Language!$D$2:$X$300,SUM(Language!AC172),IF(Overview!$A$1="EN",3,12))</f>
        <v>volume</v>
      </c>
      <c r="D169" s="167" t="str">
        <f>INDEX(Language!$D$2:$X$300,SUM(Language!AD172),IF(Overview!$A$1="EN",4,13))</f>
        <v>%</v>
      </c>
      <c r="F169" s="174" t="str">
        <f>INDEX(Language!$D$2:$X$300,SUM(Language!AF172),IF(Overview!$A$1="EN",6,15))</f>
        <v>Issues</v>
      </c>
      <c r="G169" s="166" t="str">
        <f>INDEX(Language!$D$2:$X$300,SUM(Language!AG172),IF(Overview!$A$1="EN",7,16))</f>
        <v>volume</v>
      </c>
      <c r="H169" s="167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205">
        <v>135825373.62052077</v>
      </c>
      <c r="D170" s="220">
        <v>4.8746042171424787E-2</v>
      </c>
      <c r="F170" s="7" t="str">
        <f>INDEX(Language!$D$2:$X$300,SUM(Language!AF173),IF(Overview!$A$1="EN",6,15))</f>
        <v>≤ 12 months</v>
      </c>
      <c r="G170" s="205">
        <v>30000000</v>
      </c>
      <c r="H170" s="220">
        <v>1.5689670862084656E-2</v>
      </c>
    </row>
    <row r="171" spans="2:8" x14ac:dyDescent="0.2">
      <c r="B171" s="7" t="str">
        <f>INDEX(Language!$D$2:$X$300,SUM(Language!AB174),IF(Overview!$A$1="EN",2,11))</f>
        <v>12 - 36 months</v>
      </c>
      <c r="C171" s="205">
        <v>257314795.7634778</v>
      </c>
      <c r="D171" s="220">
        <v>9.2347089143018646E-2</v>
      </c>
      <c r="F171" s="7" t="str">
        <f>INDEX(Language!$D$2:$X$300,SUM(Language!AF174),IF(Overview!$A$1="EN",6,15))</f>
        <v>12 - 36 months</v>
      </c>
      <c r="G171" s="205">
        <v>30000000</v>
      </c>
      <c r="H171" s="220">
        <v>1.5689670862084656E-2</v>
      </c>
    </row>
    <row r="172" spans="2:8" x14ac:dyDescent="0.2">
      <c r="B172" s="7" t="str">
        <f>INDEX(Language!$D$2:$X$300,SUM(Language!AB175),IF(Overview!$A$1="EN",2,11))</f>
        <v>36 - 60 months</v>
      </c>
      <c r="C172" s="205">
        <v>244337769.02956733</v>
      </c>
      <c r="D172" s="220">
        <v>8.7689795181153662E-2</v>
      </c>
      <c r="F172" s="7" t="str">
        <f>INDEX(Language!$D$2:$X$300,SUM(Language!AF175),IF(Overview!$A$1="EN",6,15))</f>
        <v>36 - 60 months</v>
      </c>
      <c r="G172" s="205">
        <v>812086000</v>
      </c>
      <c r="H172" s="220">
        <v>0.42471206839022929</v>
      </c>
    </row>
    <row r="173" spans="2:8" x14ac:dyDescent="0.2">
      <c r="B173" s="7" t="str">
        <f>INDEX(Language!$D$2:$X$300,SUM(Language!AB176),IF(Overview!$A$1="EN",2,11))</f>
        <v>60 - 120 months</v>
      </c>
      <c r="C173" s="205">
        <v>337192221.6766603</v>
      </c>
      <c r="D173" s="220">
        <v>0.12101410671358974</v>
      </c>
      <c r="F173" s="7" t="str">
        <f>INDEX(Language!$D$2:$X$300,SUM(Language!AF176),IF(Overview!$A$1="EN",6,15))</f>
        <v>60 - 120 months</v>
      </c>
      <c r="G173" s="205">
        <v>1010000000</v>
      </c>
      <c r="H173" s="220">
        <v>0.5282189190235167</v>
      </c>
    </row>
    <row r="174" spans="2:8" x14ac:dyDescent="0.2">
      <c r="B174" s="7" t="str">
        <f>INDEX(Language!$D$2:$X$300,SUM(Language!AB177),IF(Overview!$A$1="EN",2,11))</f>
        <v>≥ 120 months</v>
      </c>
      <c r="C174" s="205">
        <v>1811717566.3812861</v>
      </c>
      <c r="D174" s="220">
        <v>0.65020296679081313</v>
      </c>
      <c r="F174" s="7" t="str">
        <f>INDEX(Language!$D$2:$X$300,SUM(Language!AF177),IF(Overview!$A$1="EN",6,15))</f>
        <v>≥ 120 months</v>
      </c>
      <c r="G174" s="205">
        <v>30000000</v>
      </c>
      <c r="H174" s="220">
        <v>1.5689670862084656E-2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2786387726.4715123</v>
      </c>
      <c r="D175" s="164">
        <f>SUM(D170:D174)</f>
        <v>1</v>
      </c>
      <c r="F175" s="11" t="str">
        <f>INDEX(Language!$D$2:$X$300,SUM(Language!AF178),IF(Overview!$A$1="EN",6,15))</f>
        <v>Total</v>
      </c>
      <c r="G175" s="69">
        <f>SUM(G170:G174)</f>
        <v>1912086000</v>
      </c>
      <c r="H175" s="164">
        <f>SUM(H170:H174)</f>
        <v>0.99999999999999989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6"/>
      <c r="D192" s="173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6"/>
      <c r="D195" s="173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6"/>
      <c r="H195" s="173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204">
        <v>1617322570.5915122</v>
      </c>
      <c r="F196" s="7" t="str">
        <f>INDEX(Language!$D$2:$X$300,SUM(Language!AF199),IF(Overview!$A$1="EN",6,15))</f>
        <v>Variable, fixed rate during the year</v>
      </c>
      <c r="G196" s="8"/>
      <c r="H196" s="204">
        <v>832086000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204">
        <v>37279095.539999999</v>
      </c>
      <c r="F197" s="7" t="str">
        <f>INDEX(Language!$D$2:$X$300,SUM(Language!AF200),IF(Overview!$A$1="EN",6,15))</f>
        <v>Fixed rate, 1 - 2 years</v>
      </c>
      <c r="G197" s="8"/>
      <c r="H197" s="204"/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204">
        <v>231756205.28</v>
      </c>
      <c r="F198" s="7" t="str">
        <f>INDEX(Language!$D$2:$X$300,SUM(Language!AF201),IF(Overview!$A$1="EN",6,15))</f>
        <v>Fixed rate, 2 - 5 years</v>
      </c>
      <c r="G198" s="8"/>
      <c r="H198" s="204">
        <v>40000000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204">
        <v>900029855.05999994</v>
      </c>
      <c r="F199" s="7" t="str">
        <f>INDEX(Language!$D$2:$X$300,SUM(Language!AF202),IF(Overview!$A$1="EN",6,15))</f>
        <v>Fixed rate, &gt; 5 years</v>
      </c>
      <c r="G199" s="8"/>
      <c r="H199" s="204">
        <v>1040000000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3">
        <f>SUM(D196:D199)</f>
        <v>2786387726.4715118</v>
      </c>
      <c r="F200" s="11" t="str">
        <f>INDEX(Language!$D$2:$X$300,SUM(Language!AF203),IF(Overview!$A$1="EN",6,15))</f>
        <v>Total</v>
      </c>
      <c r="G200" s="141"/>
      <c r="H200" s="193">
        <f>SUM(H196:H199)</f>
        <v>1912086000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  <mergeCell ref="G113:H113"/>
    <mergeCell ref="B117:C117"/>
    <mergeCell ref="G117:H117"/>
    <mergeCell ref="B118:C118"/>
    <mergeCell ref="G118:H118"/>
    <mergeCell ref="B119:C119"/>
    <mergeCell ref="B120:C120"/>
    <mergeCell ref="G120:H120"/>
    <mergeCell ref="G121:H121"/>
    <mergeCell ref="G119:H119"/>
    <mergeCell ref="B122:C122"/>
    <mergeCell ref="B123:C123"/>
    <mergeCell ref="B124:C124"/>
    <mergeCell ref="G122:H122"/>
    <mergeCell ref="G123:H123"/>
    <mergeCell ref="G124:H124"/>
    <mergeCell ref="G134:H134"/>
    <mergeCell ref="B125:C125"/>
    <mergeCell ref="B126:C126"/>
    <mergeCell ref="B127:C127"/>
    <mergeCell ref="G125:H125"/>
    <mergeCell ref="G126:H126"/>
    <mergeCell ref="G127:H127"/>
    <mergeCell ref="B128:C128"/>
    <mergeCell ref="B129:C129"/>
    <mergeCell ref="B130:C130"/>
    <mergeCell ref="G130:H130"/>
    <mergeCell ref="G129:H129"/>
    <mergeCell ref="G128:H128"/>
    <mergeCell ref="B162:G162"/>
    <mergeCell ref="B165:G165"/>
    <mergeCell ref="B166:G166"/>
    <mergeCell ref="B156:G156"/>
    <mergeCell ref="B157:G157"/>
    <mergeCell ref="B158:G158"/>
    <mergeCell ref="B161:G16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100-000000000000}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zoomScaleNormal="100" workbookViewId="0">
      <selection activeCell="H20" sqref="H20:H21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209"/>
    </row>
    <row r="6" spans="1:10" x14ac:dyDescent="0.25">
      <c r="B6" s="38" t="str">
        <f>INDEX(Language!$D$2:$X$300,SUM(Language!AB209),IF(Overview!$A$1="EN",3,11))</f>
        <v>Bonds</v>
      </c>
      <c r="C6" s="36"/>
      <c r="D6" s="209">
        <v>49834500</v>
      </c>
      <c r="E6" s="196"/>
      <c r="F6" s="196"/>
      <c r="G6" s="196"/>
      <c r="H6" s="196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09">
        <v>44937000</v>
      </c>
      <c r="E7" s="196"/>
      <c r="F7" s="196"/>
      <c r="G7" s="196"/>
      <c r="H7" s="196"/>
    </row>
    <row r="8" spans="1:10" x14ac:dyDescent="0.25">
      <c r="B8" s="40" t="str">
        <f>INDEX(Language!$D$2:$X$300,SUM(Language!AB211),IF(Overview!$A$1="EN",3,11))</f>
        <v>Total</v>
      </c>
      <c r="C8" s="45"/>
      <c r="D8" s="197">
        <f>D5+D6</f>
        <v>49834500</v>
      </c>
      <c r="E8" s="196"/>
      <c r="F8" s="196"/>
      <c r="G8" s="196"/>
      <c r="H8" s="196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198">
        <f>D8/[2]Primärdeckung!C14</f>
        <v>1.8220652523875738E-2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195"/>
      <c r="D12" s="199"/>
    </row>
    <row r="13" spans="1:10" x14ac:dyDescent="0.25">
      <c r="B13" s="38" t="str">
        <f>INDEX(Language!$D$2:$X$300,SUM(Language!AB216),IF(Overview!$A$1="EN",3,11))</f>
        <v>1.000.000 - 5.000.000</v>
      </c>
      <c r="C13" s="210">
        <v>14553920</v>
      </c>
      <c r="D13" s="211">
        <v>3</v>
      </c>
    </row>
    <row r="14" spans="1:10" x14ac:dyDescent="0.25">
      <c r="B14" s="38" t="str">
        <f>INDEX(Language!$D$2:$X$300,SUM(Language!AB217),IF(Overview!$A$1="EN",3,11))</f>
        <v>≥ 5.000.000</v>
      </c>
      <c r="C14" s="210">
        <v>35290200</v>
      </c>
      <c r="D14" s="211">
        <v>2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49844120</v>
      </c>
      <c r="D15" s="49">
        <f>SUM(D12:D14)</f>
        <v>5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10">
        <v>49844120</v>
      </c>
      <c r="D18" s="223">
        <f>IF(($C$23=0),0,(C18/$C$23))</f>
        <v>1</v>
      </c>
    </row>
    <row r="19" spans="2:4" x14ac:dyDescent="0.25">
      <c r="B19" s="38" t="str">
        <f>INDEX(Language!$D$2:$X$300,SUM(Language!AB222),IF(Overview!$A$1="EN",3,11))</f>
        <v>CHF</v>
      </c>
      <c r="C19" s="63"/>
      <c r="D19" s="46">
        <v>0</v>
      </c>
    </row>
    <row r="20" spans="2:4" x14ac:dyDescent="0.25">
      <c r="B20" s="38" t="str">
        <f>INDEX(Language!$D$2:$X$300,SUM(Language!AB223),IF(Overview!$A$1="EN",3,11))</f>
        <v>USD</v>
      </c>
      <c r="C20" s="63"/>
      <c r="D20" s="46">
        <v>0</v>
      </c>
    </row>
    <row r="21" spans="2:4" x14ac:dyDescent="0.25">
      <c r="B21" s="38" t="str">
        <f>INDEX(Language!$D$2:$X$300,SUM(Language!AB224),IF(Overview!$A$1="EN",3,11))</f>
        <v>JPY</v>
      </c>
      <c r="C21" s="63"/>
      <c r="D21" s="46"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/>
      <c r="D22" s="46"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49844120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217">
        <f>SUM(C27:C54)</f>
        <v>49844120</v>
      </c>
      <c r="D26" s="224">
        <f>SUM(D27:D54)</f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10">
        <v>30215200</v>
      </c>
      <c r="D27" s="223">
        <f t="shared" ref="D27" si="0">IF(($C$61=0),0,(C27/$C$61))</f>
        <v>0.60619387000914049</v>
      </c>
    </row>
    <row r="28" spans="2:4" outlineLevel="1" x14ac:dyDescent="0.25">
      <c r="B28" s="38" t="str">
        <f>INDEX(Language!$D$2:$X$300,SUM(Language!AB231),IF(Overview!$A$1="EN",3,11))</f>
        <v>Belgium</v>
      </c>
      <c r="C28" s="210">
        <v>4995000</v>
      </c>
      <c r="D28" s="223">
        <f>IF(($C$61=0),0,(C28/$C$61))</f>
        <v>0.10021242224759912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ref="D29:D54" si="1">IF(($C$61=0),0,(C29/$C$61))</f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1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1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1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1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1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1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210">
        <v>10000000</v>
      </c>
      <c r="D36" s="223">
        <f t="shared" si="1"/>
        <v>0.20062546996516339</v>
      </c>
    </row>
    <row r="37" spans="2:4" outlineLevel="1" x14ac:dyDescent="0.25">
      <c r="B37" s="38" t="str">
        <f>INDEX(Language!$D$2:$X$300,SUM(Language!AB240),IF(Overview!$A$1="EN",3,11))</f>
        <v>Germany</v>
      </c>
      <c r="C37" s="210">
        <v>4633920</v>
      </c>
      <c r="D37" s="223">
        <f t="shared" si="1"/>
        <v>9.2968237778096999E-2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1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1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1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1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1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1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1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1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1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1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1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1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210">
        <v>0</v>
      </c>
      <c r="D50" s="78">
        <f t="shared" si="1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1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1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1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1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217">
        <f>SUM(C56:C58)</f>
        <v>0</v>
      </c>
      <c r="D55" s="224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2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2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2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2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2"/>
        <v>0</v>
      </c>
    </row>
    <row r="61" spans="2:4" x14ac:dyDescent="0.25">
      <c r="B61" s="39" t="str">
        <f>INDEX(Language!$D$2:$X$300,SUM(Language!AB264),IF(Overview!$A$1="EN",3,11))</f>
        <v>Total</v>
      </c>
      <c r="C61" s="212">
        <f>C26+C55+C59+C60</f>
        <v>49844120</v>
      </c>
      <c r="D61" s="225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68" t="s">
        <v>156</v>
      </c>
      <c r="F2" s="268"/>
      <c r="G2" s="268"/>
      <c r="H2" s="80"/>
      <c r="I2" s="80" t="s">
        <v>0</v>
      </c>
      <c r="J2" s="269" t="s">
        <v>156</v>
      </c>
      <c r="K2" s="269"/>
      <c r="L2" s="269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70" t="s">
        <v>297</v>
      </c>
      <c r="E36" s="270"/>
      <c r="F36" s="270"/>
      <c r="G36" s="270"/>
      <c r="H36" s="27"/>
      <c r="I36" s="271" t="s">
        <v>290</v>
      </c>
      <c r="J36" s="271"/>
      <c r="K36" s="271"/>
      <c r="L36" s="271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70" t="s">
        <v>298</v>
      </c>
      <c r="E37" s="270"/>
      <c r="F37" s="270"/>
      <c r="G37" s="270"/>
      <c r="H37" s="6"/>
      <c r="I37" s="271" t="s">
        <v>291</v>
      </c>
      <c r="J37" s="271"/>
      <c r="K37" s="271"/>
      <c r="L37" s="271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72" t="s">
        <v>247</v>
      </c>
      <c r="K139" s="273"/>
      <c r="M139" s="2"/>
      <c r="N139" s="18"/>
      <c r="O139" s="19" t="s">
        <v>24</v>
      </c>
      <c r="P139" s="22"/>
      <c r="Q139" s="22"/>
      <c r="R139" s="19" t="s">
        <v>80</v>
      </c>
      <c r="S139" s="272" t="s">
        <v>117</v>
      </c>
      <c r="T139" s="273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52">
        <f>IF(($C$99=0),0,(F140/$C$99))</f>
        <v>0</v>
      </c>
      <c r="K140" s="253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52">
        <f>IF(($C$99=0),0,(O140/$C$99))</f>
        <v>0</v>
      </c>
      <c r="T140" s="253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52">
        <f t="shared" ref="J141:J149" si="11">IF(($C$99=0),0,(F141/$C$99))</f>
        <v>0</v>
      </c>
      <c r="K141" s="253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52">
        <f t="shared" ref="S141:S149" si="13">IF(($C$99=0),0,(O141/$C$99))</f>
        <v>0</v>
      </c>
      <c r="T141" s="253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52">
        <f t="shared" si="11"/>
        <v>0</v>
      </c>
      <c r="K142" s="253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52">
        <f t="shared" si="13"/>
        <v>0</v>
      </c>
      <c r="T142" s="253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52">
        <f t="shared" si="11"/>
        <v>0</v>
      </c>
      <c r="K143" s="253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52">
        <f t="shared" si="13"/>
        <v>0</v>
      </c>
      <c r="T143" s="253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52">
        <f t="shared" si="11"/>
        <v>0</v>
      </c>
      <c r="K144" s="253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52">
        <f t="shared" si="13"/>
        <v>0</v>
      </c>
      <c r="T144" s="253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52">
        <f t="shared" si="11"/>
        <v>0</v>
      </c>
      <c r="K145" s="253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52">
        <f t="shared" si="13"/>
        <v>0</v>
      </c>
      <c r="T145" s="253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52">
        <f t="shared" si="11"/>
        <v>0</v>
      </c>
      <c r="K146" s="253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52">
        <f t="shared" si="13"/>
        <v>0</v>
      </c>
      <c r="T146" s="253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52">
        <f t="shared" si="11"/>
        <v>0</v>
      </c>
      <c r="K147" s="253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52">
        <f t="shared" si="13"/>
        <v>0</v>
      </c>
      <c r="T147" s="253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52">
        <f t="shared" si="11"/>
        <v>0</v>
      </c>
      <c r="K148" s="253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52">
        <f t="shared" si="13"/>
        <v>0</v>
      </c>
      <c r="T148" s="253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52">
        <f t="shared" si="11"/>
        <v>0</v>
      </c>
      <c r="K149" s="253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52">
        <f t="shared" si="13"/>
        <v>0</v>
      </c>
      <c r="T149" s="253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56">
        <f>SUM(J140:K149)</f>
        <v>0</v>
      </c>
      <c r="K150" s="257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56">
        <f>SUM(S140:T149)</f>
        <v>0</v>
      </c>
      <c r="T150" s="257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54" t="s">
        <v>322</v>
      </c>
      <c r="F154" s="255"/>
      <c r="G154" s="112"/>
      <c r="H154" s="112"/>
      <c r="I154" s="112" t="s">
        <v>198</v>
      </c>
      <c r="J154" s="258" t="s">
        <v>41</v>
      </c>
      <c r="K154" s="259"/>
      <c r="M154" s="2"/>
      <c r="N154" s="254" t="s">
        <v>350</v>
      </c>
      <c r="O154" s="255"/>
      <c r="P154" s="112"/>
      <c r="Q154" s="112"/>
      <c r="R154" s="112" t="s">
        <v>24</v>
      </c>
      <c r="S154" s="258" t="s">
        <v>41</v>
      </c>
      <c r="T154" s="259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64" t="s">
        <v>323</v>
      </c>
      <c r="F155" s="265"/>
      <c r="G155" s="265"/>
      <c r="H155" s="141"/>
      <c r="I155" s="69">
        <f>SUM(I156:I158)</f>
        <v>60000000</v>
      </c>
      <c r="J155" s="238">
        <f>SUM(J156:K158)</f>
        <v>1</v>
      </c>
      <c r="K155" s="239"/>
      <c r="M155" s="2"/>
      <c r="N155" s="236" t="s">
        <v>351</v>
      </c>
      <c r="O155" s="237"/>
      <c r="P155" s="8"/>
      <c r="Q155" s="8"/>
      <c r="R155" s="69">
        <f>SUM(R156:R158)</f>
        <v>15000000000</v>
      </c>
      <c r="S155" s="238">
        <f>SUM(S156:T158)</f>
        <v>250</v>
      </c>
      <c r="T155" s="239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66" t="s">
        <v>324</v>
      </c>
      <c r="F156" s="267"/>
      <c r="G156" s="267"/>
      <c r="H156" s="8"/>
      <c r="I156" s="66">
        <v>20000000</v>
      </c>
      <c r="J156" s="252">
        <f>IF(($F$130=0),0,(I156/$F$130))</f>
        <v>0.33333333333333331</v>
      </c>
      <c r="K156" s="253"/>
      <c r="M156" s="2"/>
      <c r="N156" s="228" t="s">
        <v>352</v>
      </c>
      <c r="O156" s="229"/>
      <c r="P156" s="8"/>
      <c r="Q156" s="8"/>
      <c r="R156" s="66">
        <v>5000000000</v>
      </c>
      <c r="S156" s="252">
        <f>IF(($F$130=0),0,(R156/$F$130))</f>
        <v>83.333333333333329</v>
      </c>
      <c r="T156" s="253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60" t="s">
        <v>325</v>
      </c>
      <c r="F157" s="261"/>
      <c r="G157" s="142"/>
      <c r="H157" s="8"/>
      <c r="I157" s="66">
        <v>20000000</v>
      </c>
      <c r="J157" s="252">
        <f t="shared" ref="J157:J158" si="14">IF(($F$130=0),0,(I157/$F$130))</f>
        <v>0.33333333333333331</v>
      </c>
      <c r="K157" s="253"/>
      <c r="M157" s="2"/>
      <c r="N157" s="228" t="s">
        <v>353</v>
      </c>
      <c r="O157" s="229"/>
      <c r="P157" s="8"/>
      <c r="Q157" s="8"/>
      <c r="R157" s="66">
        <v>5000000000</v>
      </c>
      <c r="S157" s="252">
        <f t="shared" ref="S157:S166" si="15">IF(($F$130=0),0,(R157/$F$130))</f>
        <v>83.333333333333329</v>
      </c>
      <c r="T157" s="253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52">
        <f t="shared" si="14"/>
        <v>0.33333333333333331</v>
      </c>
      <c r="K158" s="253"/>
      <c r="M158" s="2"/>
      <c r="N158" s="114" t="s">
        <v>354</v>
      </c>
      <c r="O158" s="115"/>
      <c r="P158" s="8"/>
      <c r="Q158" s="8"/>
      <c r="R158" s="66">
        <v>5000000000</v>
      </c>
      <c r="S158" s="252">
        <f t="shared" si="15"/>
        <v>83.333333333333329</v>
      </c>
      <c r="T158" s="253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62" t="s">
        <v>327</v>
      </c>
      <c r="F159" s="263"/>
      <c r="G159" s="144"/>
      <c r="H159" s="141"/>
      <c r="I159" s="69">
        <f>SUM(I160:I166)</f>
        <v>140000000</v>
      </c>
      <c r="J159" s="238">
        <f>SUM(J160:K166)</f>
        <v>2.333333333333333</v>
      </c>
      <c r="K159" s="239"/>
      <c r="M159" s="2"/>
      <c r="N159" s="236" t="s">
        <v>355</v>
      </c>
      <c r="O159" s="237"/>
      <c r="P159" s="8"/>
      <c r="Q159" s="8"/>
      <c r="R159" s="69">
        <f>SUM(R160:R166)</f>
        <v>0</v>
      </c>
      <c r="S159" s="238">
        <f>SUM(S160:T166)</f>
        <v>0</v>
      </c>
      <c r="T159" s="239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60" t="s">
        <v>328</v>
      </c>
      <c r="F160" s="261"/>
      <c r="G160" s="145"/>
      <c r="H160" s="8"/>
      <c r="I160" s="66">
        <v>20000000</v>
      </c>
      <c r="J160" s="252">
        <f>IF(($F$130=0),0,(I160/$F$130))</f>
        <v>0.33333333333333331</v>
      </c>
      <c r="K160" s="253"/>
      <c r="M160" s="2"/>
      <c r="N160" s="228" t="s">
        <v>356</v>
      </c>
      <c r="O160" s="229"/>
      <c r="P160" s="8"/>
      <c r="Q160" s="8"/>
      <c r="R160" s="66">
        <v>0</v>
      </c>
      <c r="S160" s="252">
        <f t="shared" si="15"/>
        <v>0</v>
      </c>
      <c r="T160" s="253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60" t="s">
        <v>329</v>
      </c>
      <c r="F161" s="261"/>
      <c r="G161" s="145"/>
      <c r="H161" s="8"/>
      <c r="I161" s="66">
        <v>20000000</v>
      </c>
      <c r="J161" s="252">
        <f>IF(($F$130=0),0,(I161/$F$130))</f>
        <v>0.33333333333333331</v>
      </c>
      <c r="K161" s="253"/>
      <c r="M161" s="2"/>
      <c r="N161" s="228" t="s">
        <v>357</v>
      </c>
      <c r="O161" s="229"/>
      <c r="P161" s="8"/>
      <c r="Q161" s="8"/>
      <c r="R161" s="66">
        <v>0</v>
      </c>
      <c r="S161" s="252">
        <f t="shared" si="15"/>
        <v>0</v>
      </c>
      <c r="T161" s="253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60" t="s">
        <v>330</v>
      </c>
      <c r="F162" s="261"/>
      <c r="G162" s="145"/>
      <c r="H162" s="8"/>
      <c r="I162" s="66">
        <v>20000000</v>
      </c>
      <c r="J162" s="252">
        <f t="shared" ref="J162:J166" si="16">IF(($F$130=0),0,(I162/$F$130))</f>
        <v>0.33333333333333331</v>
      </c>
      <c r="K162" s="253"/>
      <c r="M162" s="2"/>
      <c r="N162" s="228" t="s">
        <v>358</v>
      </c>
      <c r="O162" s="229"/>
      <c r="P162" s="8"/>
      <c r="Q162" s="8"/>
      <c r="R162" s="66">
        <v>0</v>
      </c>
      <c r="S162" s="252">
        <f t="shared" si="15"/>
        <v>0</v>
      </c>
      <c r="T162" s="253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60" t="s">
        <v>331</v>
      </c>
      <c r="F163" s="261"/>
      <c r="G163" s="145"/>
      <c r="H163" s="8"/>
      <c r="I163" s="66">
        <v>20000000</v>
      </c>
      <c r="J163" s="252">
        <f t="shared" si="16"/>
        <v>0.33333333333333331</v>
      </c>
      <c r="K163" s="253"/>
      <c r="M163" s="2"/>
      <c r="N163" s="228" t="s">
        <v>359</v>
      </c>
      <c r="O163" s="229"/>
      <c r="P163" s="8"/>
      <c r="Q163" s="8"/>
      <c r="R163" s="66">
        <v>0</v>
      </c>
      <c r="S163" s="252">
        <f t="shared" si="15"/>
        <v>0</v>
      </c>
      <c r="T163" s="253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60" t="s">
        <v>332</v>
      </c>
      <c r="F164" s="261"/>
      <c r="G164" s="145"/>
      <c r="H164" s="8"/>
      <c r="I164" s="66">
        <v>20000000</v>
      </c>
      <c r="J164" s="252">
        <f t="shared" si="16"/>
        <v>0.33333333333333331</v>
      </c>
      <c r="K164" s="253"/>
      <c r="M164" s="2"/>
      <c r="N164" s="228" t="s">
        <v>360</v>
      </c>
      <c r="O164" s="229"/>
      <c r="P164" s="8"/>
      <c r="Q164" s="8"/>
      <c r="R164" s="66">
        <v>0</v>
      </c>
      <c r="S164" s="252">
        <f t="shared" si="15"/>
        <v>0</v>
      </c>
      <c r="T164" s="253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60" t="s">
        <v>333</v>
      </c>
      <c r="F165" s="261"/>
      <c r="G165" s="145"/>
      <c r="H165" s="8"/>
      <c r="I165" s="66">
        <v>20000000</v>
      </c>
      <c r="J165" s="252">
        <f t="shared" si="16"/>
        <v>0.33333333333333331</v>
      </c>
      <c r="K165" s="253"/>
      <c r="M165" s="2"/>
      <c r="N165" s="228" t="s">
        <v>361</v>
      </c>
      <c r="O165" s="229"/>
      <c r="P165" s="8"/>
      <c r="Q165" s="8"/>
      <c r="R165" s="66">
        <v>0</v>
      </c>
      <c r="S165" s="252">
        <f t="shared" si="15"/>
        <v>0</v>
      </c>
      <c r="T165" s="253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60" t="s">
        <v>334</v>
      </c>
      <c r="F166" s="261"/>
      <c r="G166" s="145"/>
      <c r="H166" s="8"/>
      <c r="I166" s="66">
        <v>20000000</v>
      </c>
      <c r="J166" s="252">
        <f t="shared" si="16"/>
        <v>0.33333333333333331</v>
      </c>
      <c r="K166" s="253"/>
      <c r="M166" s="2"/>
      <c r="N166" s="228" t="s">
        <v>362</v>
      </c>
      <c r="O166" s="229"/>
      <c r="P166" s="8"/>
      <c r="Q166" s="8"/>
      <c r="R166" s="66">
        <v>0</v>
      </c>
      <c r="S166" s="252">
        <f t="shared" si="15"/>
        <v>0</v>
      </c>
      <c r="T166" s="253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54" t="s">
        <v>205</v>
      </c>
      <c r="F167" s="255"/>
      <c r="G167" s="23"/>
      <c r="H167" s="23"/>
      <c r="I167" s="70">
        <f>I155+I159</f>
        <v>200000000</v>
      </c>
      <c r="J167" s="256">
        <f>J155+J159</f>
        <v>3.333333333333333</v>
      </c>
      <c r="K167" s="257"/>
      <c r="M167" s="2"/>
      <c r="N167" s="254" t="s">
        <v>30</v>
      </c>
      <c r="O167" s="255"/>
      <c r="P167" s="23"/>
      <c r="Q167" s="23"/>
      <c r="R167" s="70">
        <f>R155+R159</f>
        <v>15000000000</v>
      </c>
      <c r="S167" s="256">
        <f>S155+S159</f>
        <v>250</v>
      </c>
      <c r="T167" s="257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49">
        <v>5</v>
      </c>
      <c r="K171" s="250"/>
      <c r="M171" s="2"/>
      <c r="N171" s="32" t="s">
        <v>163</v>
      </c>
      <c r="O171" s="33"/>
      <c r="P171" s="33"/>
      <c r="Q171" s="33"/>
      <c r="R171" s="33"/>
      <c r="S171" s="249">
        <v>5</v>
      </c>
      <c r="T171" s="250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30" t="s">
        <v>263</v>
      </c>
      <c r="F193" s="229"/>
      <c r="G193" s="229"/>
      <c r="H193" s="229"/>
      <c r="I193" s="229"/>
      <c r="J193" s="229"/>
      <c r="K193" s="107">
        <v>5</v>
      </c>
      <c r="M193" s="2"/>
      <c r="N193" s="248" t="s">
        <v>159</v>
      </c>
      <c r="O193" s="247"/>
      <c r="P193" s="247"/>
      <c r="Q193" s="247"/>
      <c r="R193" s="247"/>
      <c r="S193" s="247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30" t="s">
        <v>264</v>
      </c>
      <c r="F194" s="229"/>
      <c r="G194" s="229"/>
      <c r="H194" s="229"/>
      <c r="I194" s="229"/>
      <c r="J194" s="229"/>
      <c r="K194" s="107">
        <v>5</v>
      </c>
      <c r="M194" s="2"/>
      <c r="N194" s="246" t="s">
        <v>160</v>
      </c>
      <c r="O194" s="247"/>
      <c r="P194" s="247"/>
      <c r="Q194" s="247"/>
      <c r="R194" s="247"/>
      <c r="S194" s="247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30" t="s">
        <v>265</v>
      </c>
      <c r="F195" s="229"/>
      <c r="G195" s="229"/>
      <c r="H195" s="229"/>
      <c r="I195" s="229"/>
      <c r="J195" s="229"/>
      <c r="K195" s="107">
        <v>5</v>
      </c>
      <c r="M195" s="2"/>
      <c r="N195" s="248" t="s">
        <v>146</v>
      </c>
      <c r="O195" s="251"/>
      <c r="P195" s="251"/>
      <c r="Q195" s="251"/>
      <c r="R195" s="251"/>
      <c r="S195" s="251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30" t="s">
        <v>263</v>
      </c>
      <c r="F198" s="229"/>
      <c r="G198" s="229"/>
      <c r="H198" s="229"/>
      <c r="I198" s="229"/>
      <c r="J198" s="229"/>
      <c r="K198" s="107">
        <v>5</v>
      </c>
      <c r="M198" s="2"/>
      <c r="N198" s="248" t="s">
        <v>159</v>
      </c>
      <c r="O198" s="247"/>
      <c r="P198" s="247"/>
      <c r="Q198" s="247"/>
      <c r="R198" s="247"/>
      <c r="S198" s="247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30" t="s">
        <v>264</v>
      </c>
      <c r="F199" s="229"/>
      <c r="G199" s="229"/>
      <c r="H199" s="229"/>
      <c r="I199" s="229"/>
      <c r="J199" s="229"/>
      <c r="K199" s="107">
        <v>5</v>
      </c>
      <c r="M199" s="2"/>
      <c r="N199" s="246" t="s">
        <v>160</v>
      </c>
      <c r="O199" s="247"/>
      <c r="P199" s="247"/>
      <c r="Q199" s="247"/>
      <c r="R199" s="247"/>
      <c r="S199" s="247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30" t="s">
        <v>263</v>
      </c>
      <c r="F202" s="229"/>
      <c r="G202" s="229"/>
      <c r="H202" s="229"/>
      <c r="I202" s="229"/>
      <c r="J202" s="229"/>
      <c r="K202" s="107">
        <v>5</v>
      </c>
      <c r="M202" s="2"/>
      <c r="N202" s="248" t="s">
        <v>159</v>
      </c>
      <c r="O202" s="247"/>
      <c r="P202" s="247"/>
      <c r="Q202" s="247"/>
      <c r="R202" s="247"/>
      <c r="S202" s="247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30" t="s">
        <v>264</v>
      </c>
      <c r="F203" s="229"/>
      <c r="G203" s="229"/>
      <c r="H203" s="229"/>
      <c r="I203" s="229"/>
      <c r="J203" s="229"/>
      <c r="K203" s="107">
        <v>5</v>
      </c>
      <c r="M203" s="2"/>
      <c r="N203" s="246" t="s">
        <v>160</v>
      </c>
      <c r="O203" s="247"/>
      <c r="P203" s="247"/>
      <c r="Q203" s="247"/>
      <c r="R203" s="247"/>
      <c r="S203" s="247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S144:T144"/>
    <mergeCell ref="S145:T145"/>
    <mergeCell ref="S146:T146"/>
    <mergeCell ref="S147:T147"/>
    <mergeCell ref="S148:T148"/>
    <mergeCell ref="S139:T139"/>
    <mergeCell ref="S140:T140"/>
    <mergeCell ref="S141:T141"/>
    <mergeCell ref="S142:T142"/>
    <mergeCell ref="S143:T143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E155:G155"/>
    <mergeCell ref="J155:K155"/>
    <mergeCell ref="E156:G156"/>
    <mergeCell ref="J156:K156"/>
    <mergeCell ref="E157:F157"/>
    <mergeCell ref="J157:K157"/>
    <mergeCell ref="J158:K158"/>
    <mergeCell ref="E159:F159"/>
    <mergeCell ref="J159:K159"/>
    <mergeCell ref="E160:F160"/>
    <mergeCell ref="J160:K160"/>
    <mergeCell ref="E161:F161"/>
    <mergeCell ref="J161:K161"/>
    <mergeCell ref="E162:F162"/>
    <mergeCell ref="J162:K162"/>
    <mergeCell ref="E163:F163"/>
    <mergeCell ref="J163:K163"/>
    <mergeCell ref="E164:F164"/>
    <mergeCell ref="J164:K164"/>
    <mergeCell ref="E165:F165"/>
    <mergeCell ref="J165:K165"/>
    <mergeCell ref="E166:F166"/>
    <mergeCell ref="J166:K166"/>
    <mergeCell ref="E167:F167"/>
    <mergeCell ref="J167:K167"/>
    <mergeCell ref="J171:K171"/>
    <mergeCell ref="E193:J193"/>
    <mergeCell ref="E194:J194"/>
    <mergeCell ref="E195:J195"/>
    <mergeCell ref="E198:J198"/>
    <mergeCell ref="E199:J199"/>
    <mergeCell ref="E202:J202"/>
    <mergeCell ref="E203:J203"/>
    <mergeCell ref="J146:K146"/>
    <mergeCell ref="J147:K147"/>
    <mergeCell ref="J148:K148"/>
    <mergeCell ref="S149:T149"/>
    <mergeCell ref="J149:K149"/>
    <mergeCell ref="S150:T150"/>
    <mergeCell ref="N154:O154"/>
    <mergeCell ref="S154:T154"/>
    <mergeCell ref="N155:O155"/>
    <mergeCell ref="S155:T155"/>
    <mergeCell ref="N156:O156"/>
    <mergeCell ref="S156:T156"/>
    <mergeCell ref="N157:O157"/>
    <mergeCell ref="S157:T157"/>
    <mergeCell ref="S158:T158"/>
    <mergeCell ref="N159:O159"/>
    <mergeCell ref="S159:T159"/>
    <mergeCell ref="N160:O160"/>
    <mergeCell ref="S160:T160"/>
    <mergeCell ref="N161:O161"/>
    <mergeCell ref="S161:T161"/>
    <mergeCell ref="N162:O162"/>
    <mergeCell ref="S162:T162"/>
    <mergeCell ref="N163:O163"/>
    <mergeCell ref="S163:T163"/>
    <mergeCell ref="N164:O164"/>
    <mergeCell ref="S164:T164"/>
    <mergeCell ref="N165:O165"/>
    <mergeCell ref="S165:T165"/>
    <mergeCell ref="N166:O166"/>
    <mergeCell ref="S166:T166"/>
    <mergeCell ref="N167:O167"/>
    <mergeCell ref="S167:T167"/>
    <mergeCell ref="N199:S199"/>
    <mergeCell ref="N202:S202"/>
    <mergeCell ref="N203:S203"/>
    <mergeCell ref="S171:T171"/>
    <mergeCell ref="N193:S193"/>
    <mergeCell ref="N194:S194"/>
    <mergeCell ref="N195:S195"/>
    <mergeCell ref="N198:S19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2018-04-11T11:30:07Z</cp:lastPrinted>
  <dcterms:created xsi:type="dcterms:W3CDTF">2013-10-29T11:27:30Z</dcterms:created>
  <dcterms:modified xsi:type="dcterms:W3CDTF">2022-02-04T12:10:42Z</dcterms:modified>
</cp:coreProperties>
</file>