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Liquiditätsmanagement\Funding\Deckungsstöcke\Reporting für Pfandbrief-Forum und Treuhänder\2021\2021-12\"/>
    </mc:Choice>
  </mc:AlternateContent>
  <xr:revisionPtr revIDLastSave="0" documentId="13_ncr:1_{167D1565-17DC-40A0-87DB-2015B6DE0A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Overview!$D$33</definedName>
    <definedName name="ANZAHL_SCHULDNER">Overview!$D$18</definedName>
    <definedName name="_xlnm.Print_Area" localSheetId="2">Ersatzdeckung!$A$1:$E$63</definedName>
    <definedName name="_xlnm.Print_Area" localSheetId="0">Overview!$A$1:$E$34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  <definedName name="x">Overview!$D$12</definedName>
    <definedName name="xx">Overview!$D$33</definedName>
    <definedName name="xxx">Overview!$D$17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3" l="1"/>
  <c r="C26" i="3"/>
  <c r="C23" i="3"/>
  <c r="D18" i="3" s="1"/>
  <c r="D15" i="3"/>
  <c r="C15" i="3"/>
  <c r="D8" i="3"/>
  <c r="D9" i="3" s="1"/>
  <c r="H28" i="2"/>
  <c r="D28" i="2"/>
  <c r="D9" i="2"/>
  <c r="D6" i="2"/>
  <c r="C9" i="2"/>
  <c r="C6" i="2"/>
  <c r="D19" i="3" l="1"/>
  <c r="D21" i="3"/>
  <c r="D20" i="3"/>
  <c r="D22" i="3"/>
  <c r="C14" i="2"/>
  <c r="D14" i="2"/>
  <c r="C61" i="3"/>
  <c r="D33" i="3" s="1"/>
  <c r="H149" i="2"/>
  <c r="D149" i="2"/>
  <c r="D37" i="3" l="1"/>
  <c r="D59" i="3"/>
  <c r="D43" i="3"/>
  <c r="D23" i="3"/>
  <c r="D27" i="3"/>
  <c r="D50" i="3"/>
  <c r="D39" i="3"/>
  <c r="D54" i="3"/>
  <c r="D46" i="3"/>
  <c r="D52" i="3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C123" i="2"/>
  <c r="C107" i="2"/>
  <c r="F95" i="2"/>
  <c r="C83" i="2"/>
  <c r="C34" i="2"/>
  <c r="C69" i="2"/>
  <c r="H122" i="2" l="1"/>
  <c r="H118" i="2"/>
  <c r="H121" i="2"/>
  <c r="H120" i="2"/>
  <c r="H119" i="2"/>
  <c r="D122" i="2"/>
  <c r="D121" i="2"/>
  <c r="D120" i="2"/>
  <c r="D118" i="2"/>
  <c r="D119" i="2"/>
  <c r="D106" i="2"/>
  <c r="D105" i="2"/>
  <c r="D104" i="2"/>
  <c r="D103" i="2"/>
  <c r="D102" i="2"/>
  <c r="G92" i="2"/>
  <c r="G89" i="2"/>
  <c r="G94" i="2"/>
  <c r="G88" i="2"/>
  <c r="G93" i="2"/>
  <c r="G90" i="2"/>
  <c r="G91" i="2"/>
  <c r="F81" i="2"/>
  <c r="F82" i="2"/>
  <c r="F74" i="2"/>
  <c r="F80" i="2"/>
  <c r="F77" i="2"/>
  <c r="F73" i="2"/>
  <c r="F79" i="2"/>
  <c r="F75" i="2"/>
  <c r="F78" i="2"/>
  <c r="F76" i="2"/>
  <c r="G81" i="2"/>
  <c r="G75" i="2"/>
  <c r="G80" i="2"/>
  <c r="G76" i="2"/>
  <c r="G74" i="2"/>
  <c r="G82" i="2"/>
  <c r="G79" i="2"/>
  <c r="G78" i="2"/>
  <c r="G77" i="2"/>
  <c r="G73" i="2"/>
  <c r="D26" i="3"/>
  <c r="D53" i="2"/>
  <c r="D38" i="2"/>
  <c r="D47" i="2"/>
  <c r="D66" i="2"/>
  <c r="D50" i="2"/>
  <c r="D51" i="2"/>
  <c r="D35" i="2"/>
  <c r="D55" i="2"/>
  <c r="D57" i="2"/>
  <c r="D52" i="2"/>
  <c r="D42" i="2"/>
  <c r="D48" i="2"/>
  <c r="D67" i="2"/>
  <c r="D59" i="2"/>
  <c r="D65" i="2"/>
  <c r="D49" i="2"/>
  <c r="D68" i="2"/>
  <c r="D36" i="2"/>
  <c r="D39" i="2"/>
  <c r="D40" i="2"/>
  <c r="D41" i="2"/>
  <c r="D43" i="2"/>
  <c r="D44" i="2"/>
  <c r="D64" i="2"/>
  <c r="D60" i="2"/>
  <c r="D45" i="2"/>
  <c r="D61" i="2"/>
  <c r="D37" i="2"/>
  <c r="D54" i="2"/>
  <c r="D56" i="2"/>
  <c r="D58" i="2"/>
  <c r="D46" i="2"/>
  <c r="D62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G83" i="2"/>
  <c r="G95" i="2"/>
  <c r="D58" i="3"/>
  <c r="D57" i="3"/>
  <c r="D56" i="3"/>
  <c r="D69" i="2" l="1"/>
  <c r="D55" i="3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3" i="1"/>
  <c r="C21" i="1"/>
  <c r="C20" i="1"/>
  <c r="C13" i="1"/>
  <c r="C12" i="1"/>
  <c r="G103" i="5" l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<sst xmlns="http://schemas.openxmlformats.org/spreadsheetml/2006/main" count="636" uniqueCount="321">
  <si>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</si>
  <si>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</si>
  <si>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</si>
  <si>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</si>
  <si>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</si>
  <si>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</si>
  <si>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</si>
  <si>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</si>
  <si>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</si>
  <si>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</si>
  <si>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</si>
  <si>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</si>
  <si>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</si>
  <si>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</si>
  <si>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</si>
  <si>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</si>
  <si>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</si>
  <si>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</si>
  <si>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</si>
  <si>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</si>
  <si>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</si>
  <si>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</si>
  <si>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</si>
  <si>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</si>
  <si>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</si>
  <si>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</si>
  <si>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</si>
  <si>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</si>
  <si>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</si>
  <si>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</si>
  <si>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</si>
  <si>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</si>
  <si>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</si>
  <si>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</si>
  <si>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</si>
  <si>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</si>
  <si>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</si>
  <si>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</si>
  <si>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</si>
  <si>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</si>
  <si>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</si>
  <si>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</si>
  <si>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</si>
  <si>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</si>
  <si>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</si>
  <si>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</si>
  <si>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</si>
  <si>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</si>
  <si>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</si>
  <si>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</si>
  <si>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</si>
  <si>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</si>
  <si>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</si>
  <si>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</si>
  <si>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</si>
  <si>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</si>
  <si>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</si>
  <si>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</si>
  <si>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</si>
  <si>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</si>
  <si>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</si>
  <si>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</si>
  <si>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</si>
  <si>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</si>
  <si>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</si>
  <si>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</si>
  <si>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</si>
  <si>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</si>
  <si>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</si>
  <si>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</si>
  <si>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</si>
  <si>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</si>
  <si>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</si>
  <si>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</si>
  <si>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</si>
  <si>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</si>
  <si>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</si>
  <si>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</si>
  <si>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</si>
  <si>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</si>
  <si>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</si>
  <si>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</si>
  <si>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</si>
  <si>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</si>
  <si>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</si>
  <si>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</si>
  <si>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</si>
  <si>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</si>
  <si>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</si>
  <si>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</si>
  <si>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</si>
  <si>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</si>
  <si>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</si>
  <si>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</si>
  <si>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</si>
  <si>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</si>
  <si>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</si>
  <si>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</si>
  <si>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</si>
  <si>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</si>
  <si>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</si>
  <si>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</si>
  <si>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</si>
  <si>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</si>
  <si>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</si>
  <si>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</si>
  <si>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</si>
  <si>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</si>
  <si>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</si>
  <si>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</si>
  <si>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</si>
  <si>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</si>
  <si>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</si>
  <si>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</si>
  <si>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</si>
  <si>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</si>
  <si>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</si>
  <si>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</si>
  <si>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</si>
  <si>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</si>
  <si>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</si>
  <si>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</si>
  <si>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</si>
  <si>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</si>
  <si>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</si>
  <si>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</si>
  <si>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</si>
  <si>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</si>
  <si>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</si>
  <si>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</si>
  <si>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</si>
  <si>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</si>
  <si>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</si>
  <si>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</si>
  <si>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</si>
  <si>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</si>
  <si>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</si>
  <si>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</si>
  <si>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</si>
  <si>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</si>
  <si>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</si>
  <si>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</si>
  <si>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</si>
  <si>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</si>
  <si>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</si>
  <si>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</si>
  <si>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</si>
  <si>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</si>
  <si>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</si>
  <si>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</si>
  <si>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</si>
  <si>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</si>
  <si>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</si>
  <si>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</si>
  <si>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</si>
  <si>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</si>
  <si>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</si>
  <si>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</si>
  <si>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</si>
  <si>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</si>
  <si>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</si>
  <si>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</si>
  <si>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</si>
  <si>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</si>
  <si>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</si>
  <si>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</si>
  <si>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</si>
  <si>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</si>
  <si>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</si>
  <si>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</si>
  <si>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</si>
  <si>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</si>
  <si>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</si>
  <si>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</si>
  <si>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</si>
  <si>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</si>
  <si>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</si>
  <si>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</si>
  <si>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</si>
  <si>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</si>
  <si>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</si>
  <si>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</si>
  <si>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</si>
  <si>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</si>
  <si>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</si>
  <si>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</si>
  <si>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</si>
  <si>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</si>
  <si>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</si>
  <si>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</si>
  <si>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</si>
  <si>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</si>
  <si>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</si>
  <si>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</si>
  <si>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</si>
  <si>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</si>
  <si>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</si>
  <si>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</si>
  <si>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</si>
  <si>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</si>
  <si>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</si>
  <si>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</si>
  <si>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</si>
  <si>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</si>
  <si>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</si>
  <si>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</si>
  <si>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</si>
  <si>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</si>
  <si>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</si>
  <si>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</si>
  <si>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</si>
  <si>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</si>
  <si>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</si>
  <si>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</si>
  <si>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</si>
  <si>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</si>
  <si>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</si>
  <si>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</si>
  <si>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</si>
  <si>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</si>
  <si>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</si>
  <si>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</si>
  <si>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</si>
  <si>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</si>
  <si>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</si>
  <si>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</si>
  <si>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</si>
  <si>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</si>
  <si>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</si>
  <si>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</si>
  <si>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</si>
  <si>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</si>
  <si>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</si>
  <si>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</si>
  <si>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</si>
  <si>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</si>
  <si>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</si>
  <si>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</si>
  <si>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</si>
  <si>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</si>
  <si>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</si>
  <si>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</si>
  <si>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</si>
  <si>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</si>
  <si>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</si>
  <si>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</si>
  <si>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</si>
  <si>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</si>
  <si>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</si>
  <si>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</si>
  <si>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</si>
  <si>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</si>
  <si>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</si>
  <si>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</si>
  <si>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</si>
  <si>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</si>
  <si>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</si>
  <si>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</si>
  <si>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</si>
  <si>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</si>
  <si>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</si>
  <si>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</si>
  <si>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</si>
  <si>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</si>
  <si>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</si>
  <si>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</si>
  <si>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</si>
  <si>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</si>
  <si>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</si>
  <si>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</si>
  <si>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</si>
  <si>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</si>
  <si>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</si>
  <si>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</si>
  <si>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</si>
  <si>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</si>
  <si>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</si>
  <si>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</si>
  <si>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</si>
  <si>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</si>
  <si>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</si>
  <si>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</si>
  <si>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</si>
  <si>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</si>
  <si>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</si>
  <si>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</si>
  <si>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</si>
  <si>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</si>
  <si>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</si>
  <si>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</si>
  <si>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</si>
  <si>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</si>
  <si>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</si>
  <si>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</si>
  <si>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</si>
  <si>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</si>
  <si>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</si>
  <si>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</si>
  <si>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</si>
  <si>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</si>
  <si>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</si>
  <si>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</si>
  <si>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</si>
  <si>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</si>
  <si>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</si>
  <si>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</si>
  <si>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</si>
  <si>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</si>
  <si>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</si>
  <si>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</si>
  <si>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</si>
  <si>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</si>
  <si>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</si>
  <si>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</si>
  <si>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</si>
  <si>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</si>
  <si>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</si>
  <si>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</si>
  <si>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</si>
  <si>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</si>
  <si>
    <t>Share of Government Guaranteed Bank Bonds (own issues or issued by affiliates) (% of total cover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</si>
</sst>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0.0%"/>
    <numFmt numFmtId="170" formatCode="0.000%"/>
    <numFmt numFmtId="171" formatCode="#,##0.0000000,,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4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7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0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9" fontId="2" fillId="4" borderId="12" xfId="1" applyNumberFormat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171" fontId="0" fillId="0" borderId="0" xfId="0" applyNumberFormat="1" applyFill="1"/>
    <xf numFmtId="0" fontId="6" fillId="0" borderId="13" xfId="0" applyFont="1" applyFill="1" applyBorder="1" applyAlignment="1">
      <alignment horizontal="center" vertical="center" wrapText="1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812386684.98000002</c:v>
                </c:pt>
                <c:pt idx="1">
                  <c:v>1012550379.9400001</c:v>
                </c:pt>
                <c:pt idx="2">
                  <c:v>515507746.35000002</c:v>
                </c:pt>
                <c:pt idx="3">
                  <c:v>985855999.04999995</c:v>
                </c:pt>
                <c:pt idx="4">
                  <c:v>1270764454.6255212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698525121.9019891</c:v>
                </c:pt>
                <c:pt idx="1">
                  <c:v>321383307.45843095</c:v>
                </c:pt>
                <c:pt idx="2">
                  <c:v>250723714.15000001</c:v>
                </c:pt>
                <c:pt idx="3">
                  <c:v>389262687.29000002</c:v>
                </c:pt>
                <c:pt idx="4">
                  <c:v>910624614.71971726</c:v>
                </c:pt>
                <c:pt idx="5">
                  <c:v>2026545819.4253836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28880624.959717348</c:v>
                </c:pt>
                <c:pt idx="1">
                  <c:v>193670895.76523855</c:v>
                </c:pt>
                <c:pt idx="2">
                  <c:v>244483902.59056529</c:v>
                </c:pt>
                <c:pt idx="3">
                  <c:v>711152410.80999994</c:v>
                </c:pt>
                <c:pt idx="4">
                  <c:v>3418877430.8200002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528000000</c:v>
                </c:pt>
                <c:pt idx="1">
                  <c:v>560150000</c:v>
                </c:pt>
                <c:pt idx="2">
                  <c:v>1118000000</c:v>
                </c:pt>
                <c:pt idx="3">
                  <c:v>947000000</c:v>
                </c:pt>
                <c:pt idx="4">
                  <c:v>424513930.64999998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812386684.98000002</c:v>
                </c:pt>
                <c:pt idx="1">
                  <c:v>1012550379.9400001</c:v>
                </c:pt>
                <c:pt idx="2">
                  <c:v>515507746.35000002</c:v>
                </c:pt>
                <c:pt idx="3">
                  <c:v>985855999.04999995</c:v>
                </c:pt>
                <c:pt idx="4">
                  <c:v>1270764454.6255212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698525121.9019891</c:v>
                </c:pt>
                <c:pt idx="1">
                  <c:v>321383307.45843095</c:v>
                </c:pt>
                <c:pt idx="2">
                  <c:v>250723714.15000001</c:v>
                </c:pt>
                <c:pt idx="3">
                  <c:v>389262687.29000002</c:v>
                </c:pt>
                <c:pt idx="4">
                  <c:v>910624614.71971726</c:v>
                </c:pt>
                <c:pt idx="5">
                  <c:v>2026545819.4253836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28880624.959717348</c:v>
                </c:pt>
                <c:pt idx="1">
                  <c:v>193670895.76523855</c:v>
                </c:pt>
                <c:pt idx="2">
                  <c:v>244483902.59056529</c:v>
                </c:pt>
                <c:pt idx="3">
                  <c:v>711152410.80999994</c:v>
                </c:pt>
                <c:pt idx="4">
                  <c:v>3418877430.8200002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528000000</c:v>
                </c:pt>
                <c:pt idx="1">
                  <c:v>560150000</c:v>
                </c:pt>
                <c:pt idx="2">
                  <c:v>1118000000</c:v>
                </c:pt>
                <c:pt idx="3">
                  <c:v>947000000</c:v>
                </c:pt>
                <c:pt idx="4">
                  <c:v>424513930.64999998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Liquidit&#228;tsmanagement/Funding/Deckungsst&#246;cke/Reporting%20f&#252;r%20Pfandbrief-Forum%20und%20Treuh&#228;nder/2021/2021-03/Pfandbriefforumsreport%20&#246;ffentlicher%20Pfandbrief%2031.03.2021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 refreshError="1"/>
      <sheetData sheetId="1">
        <row r="14">
          <cell r="C14">
            <v>4324875674.9807816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G13" sqref="G13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7" width="9.5703125" style="80" bestFit="1" customWidth="1"/>
    <col min="8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13" t="s">
        <v>315</v>
      </c>
      <c r="D1" s="213"/>
      <c r="E1" s="213"/>
      <c r="F1" s="161"/>
    </row>
    <row r="2" spans="1:6" x14ac:dyDescent="0.25">
      <c r="B2" s="80" t="str">
        <f>INDEX(Language!D2:M33,2,IF(A1="EN",1,6))</f>
        <v>Report Date</v>
      </c>
      <c r="D2" s="86">
        <v>44561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200">
        <v>0.15837084474907301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198">
        <v>3577663930.6500001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198">
        <v>4677655414.9455214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7" ht="16.5" customHeight="1" x14ac:dyDescent="0.25">
      <c r="B17" s="94" t="str">
        <f>INDEX(Language!D2:M33,17,IF(A1="EN",1,6))</f>
        <v>Number of loans</v>
      </c>
      <c r="C17" s="95"/>
      <c r="D17" s="199">
        <v>48687</v>
      </c>
      <c r="E17" s="94"/>
      <c r="F17" s="151"/>
    </row>
    <row r="18" spans="2:7" ht="16.5" customHeight="1" x14ac:dyDescent="0.25">
      <c r="B18" s="94" t="str">
        <f>INDEX(Language!D2:M33,18,IF(A1="EN",1,6))</f>
        <v>Number of borrowers</v>
      </c>
      <c r="C18" s="95"/>
      <c r="D18" s="199">
        <v>42361</v>
      </c>
      <c r="E18" s="94"/>
      <c r="F18" s="151"/>
    </row>
    <row r="19" spans="2:7" ht="16.5" customHeight="1" x14ac:dyDescent="0.25">
      <c r="B19" s="94" t="str">
        <f>INDEX(Language!D2:M33,19,IF(A1="EN",1,6))</f>
        <v>Number of garantors</v>
      </c>
      <c r="C19" s="95"/>
      <c r="D19" s="199">
        <v>101</v>
      </c>
      <c r="E19" s="94"/>
      <c r="F19" s="151"/>
    </row>
    <row r="20" spans="2:7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198">
        <v>110423.63057872858</v>
      </c>
      <c r="E20" s="94"/>
      <c r="F20" s="165"/>
      <c r="G20" s="212"/>
    </row>
    <row r="21" spans="2:7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198">
        <v>96076.065786462947</v>
      </c>
      <c r="E21" s="94"/>
      <c r="F21" s="165"/>
      <c r="G21" s="212"/>
    </row>
    <row r="22" spans="2:7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200">
        <v>0</v>
      </c>
      <c r="E22" s="94"/>
      <c r="F22" s="163"/>
    </row>
    <row r="23" spans="2:7" ht="16.5" customHeight="1" x14ac:dyDescent="0.25">
      <c r="B23" s="94" t="str">
        <f>INDEX(Language!D2:M33,23,IF(A1="EN",1,6))</f>
        <v>Share of 10 largest loans (% of primary cover pool)</v>
      </c>
      <c r="C23" s="95"/>
      <c r="D23" s="200">
        <v>0.15425276683305986</v>
      </c>
      <c r="E23" s="94"/>
      <c r="F23" s="163"/>
    </row>
    <row r="24" spans="2:7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200">
        <v>0.55497277989596572</v>
      </c>
      <c r="E24" s="94"/>
      <c r="F24" s="163"/>
    </row>
    <row r="25" spans="2:7" ht="16.5" customHeight="1" x14ac:dyDescent="0.25">
      <c r="B25" s="94" t="str">
        <f>INDEX(Language!D2:M33,25,IF(A1="EN",1,6))</f>
        <v>Share of bullet loans (% of primary cover pool)</v>
      </c>
      <c r="C25" s="95"/>
      <c r="D25" s="200">
        <v>5.9320677193717058E-2</v>
      </c>
      <c r="E25" s="94"/>
      <c r="F25" s="163"/>
    </row>
    <row r="26" spans="2:7" ht="16.5" customHeight="1" x14ac:dyDescent="0.25">
      <c r="B26" s="100" t="str">
        <f>INDEX(Language!D2:M33,26,IF(A1="EN",1,6))</f>
        <v>Share of loans in foreign currency (% of primary cover pool)</v>
      </c>
      <c r="C26" s="95"/>
      <c r="D26" s="200">
        <v>1.6430784818630664E-2</v>
      </c>
      <c r="E26" s="94"/>
      <c r="F26" s="163"/>
    </row>
    <row r="27" spans="2:7" ht="16.5" customHeight="1" x14ac:dyDescent="0.25">
      <c r="B27" s="94" t="str">
        <f>INDEX(Language!D2:M33,27,IF(A1="EN",1,6))</f>
        <v>Share of issues in foreign currency (% of primary cover pool)</v>
      </c>
      <c r="C27" s="95"/>
      <c r="D27" s="200">
        <v>0</v>
      </c>
      <c r="E27" s="94"/>
      <c r="F27" s="163"/>
    </row>
    <row r="28" spans="2:7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200">
        <v>0.5066533769753141</v>
      </c>
      <c r="E28" s="94"/>
      <c r="F28" s="163"/>
    </row>
    <row r="29" spans="2:7" ht="16.5" customHeight="1" x14ac:dyDescent="0.25">
      <c r="B29" s="94" t="s">
        <v>320</v>
      </c>
      <c r="C29" s="95"/>
      <c r="D29" s="200">
        <v>0</v>
      </c>
      <c r="E29" s="94"/>
      <c r="F29" s="163"/>
    </row>
    <row r="30" spans="2:7" ht="16.5" customHeight="1" x14ac:dyDescent="0.25">
      <c r="B30" s="94" t="str">
        <f>INDEX(Language!D2:M33,29,IF(A1="EN",1,6))</f>
        <v>Nominal over-collateralisation (total cover pool / outstanding issues in %)</v>
      </c>
      <c r="C30" s="95"/>
      <c r="D30" s="200">
        <v>0.30746081957890103</v>
      </c>
      <c r="E30" s="160"/>
      <c r="F30" s="163"/>
    </row>
    <row r="31" spans="2:7" ht="16.5" customHeight="1" x14ac:dyDescent="0.25">
      <c r="B31" s="94" t="str">
        <f>INDEX(Language!D2:M33,30,IF(A1="EN",1,6))</f>
        <v>Present value over-collateralisation (PV total cover pool / PV outstanding issues in %)</v>
      </c>
      <c r="C31" s="95"/>
      <c r="D31" s="200">
        <v>0.46186369060208377</v>
      </c>
      <c r="E31" s="94"/>
      <c r="F31" s="163"/>
    </row>
    <row r="32" spans="2:7" ht="16.5" customHeight="1" x14ac:dyDescent="0.25">
      <c r="B32" s="94" t="str">
        <f>INDEX(Language!D2:M33,31,IF(A1="EN",1,6))</f>
        <v>Number of issues</v>
      </c>
      <c r="C32" s="95"/>
      <c r="D32" s="199">
        <v>50</v>
      </c>
      <c r="E32" s="94"/>
      <c r="F32" s="151"/>
    </row>
    <row r="33" spans="2:6" ht="16.5" customHeight="1" x14ac:dyDescent="0.25">
      <c r="B33" s="94" t="str">
        <f>INDEX(Language!D2:M33,32,IF(A1="EN",1,6))</f>
        <v>Average issue size</v>
      </c>
      <c r="C33" s="95" t="str">
        <f>INDEX(Language!D2:M33,32,IF(A1="EN",2,7))</f>
        <v>in mn</v>
      </c>
      <c r="D33" s="208">
        <v>71553278.613000005</v>
      </c>
      <c r="E33" s="94"/>
      <c r="F33" s="166"/>
    </row>
  </sheetData>
  <mergeCells count="1">
    <mergeCell ref="C1:E1"/>
  </mergeCells>
  <dataValidations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zoomScaleNormal="100" zoomScalePageLayoutView="85" workbookViewId="0">
      <selection activeCell="F153" sqref="F153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5" t="s">
        <v>26</v>
      </c>
      <c r="C6" s="103">
        <f>SUM(C7:C8)</f>
        <v>1019908429.36042</v>
      </c>
      <c r="D6" s="176">
        <f>SUM(D7:D8)</f>
        <v>46896</v>
      </c>
      <c r="I6" s="5"/>
    </row>
    <row r="7" spans="1:9" ht="15" x14ac:dyDescent="0.25">
      <c r="A7" s="57" t="s">
        <v>128</v>
      </c>
      <c r="B7" s="175" t="s">
        <v>123</v>
      </c>
      <c r="C7" s="201">
        <v>698525121.9019891</v>
      </c>
      <c r="D7" s="202">
        <v>45187</v>
      </c>
      <c r="I7" s="5"/>
    </row>
    <row r="8" spans="1:9" ht="15" x14ac:dyDescent="0.25">
      <c r="A8" s="57" t="s">
        <v>130</v>
      </c>
      <c r="B8" s="175" t="s">
        <v>124</v>
      </c>
      <c r="C8" s="201">
        <v>321383307.45843095</v>
      </c>
      <c r="D8" s="202">
        <v>1709</v>
      </c>
      <c r="I8" s="5"/>
    </row>
    <row r="9" spans="1:9" ht="15" x14ac:dyDescent="0.25">
      <c r="A9" s="57"/>
      <c r="B9" s="177" t="s">
        <v>27</v>
      </c>
      <c r="C9" s="103">
        <f>SUM(C10:C12)</f>
        <v>1550611016.1597173</v>
      </c>
      <c r="D9" s="176">
        <f>SUM(D10:D12)</f>
        <v>1677</v>
      </c>
      <c r="I9" s="5"/>
    </row>
    <row r="10" spans="1:9" ht="15" x14ac:dyDescent="0.25">
      <c r="A10" s="57" t="s">
        <v>131</v>
      </c>
      <c r="B10" s="177" t="s">
        <v>125</v>
      </c>
      <c r="C10" s="201">
        <v>250723714.15000001</v>
      </c>
      <c r="D10" s="202">
        <v>647</v>
      </c>
      <c r="I10" s="5"/>
    </row>
    <row r="11" spans="1:9" ht="15" x14ac:dyDescent="0.25">
      <c r="A11" s="57" t="s">
        <v>132</v>
      </c>
      <c r="B11" s="177" t="s">
        <v>126</v>
      </c>
      <c r="C11" s="201">
        <v>389262687.29000002</v>
      </c>
      <c r="D11" s="202">
        <v>568</v>
      </c>
      <c r="I11" s="5"/>
    </row>
    <row r="12" spans="1:9" ht="15" x14ac:dyDescent="0.25">
      <c r="A12" s="57" t="s">
        <v>133</v>
      </c>
      <c r="B12" s="177" t="s">
        <v>127</v>
      </c>
      <c r="C12" s="201">
        <v>910624614.71971726</v>
      </c>
      <c r="D12" s="202">
        <v>462</v>
      </c>
      <c r="I12" s="5"/>
    </row>
    <row r="13" spans="1:9" ht="15" x14ac:dyDescent="0.25">
      <c r="A13" s="57" t="s">
        <v>134</v>
      </c>
      <c r="B13" s="177" t="s">
        <v>29</v>
      </c>
      <c r="C13" s="201">
        <v>2026545819.4253836</v>
      </c>
      <c r="D13" s="202">
        <v>109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0">
        <f>C6+C9+C13</f>
        <v>4597065264.9455204</v>
      </c>
      <c r="D14" s="181">
        <f>D13+D9+D6</f>
        <v>48682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8"/>
      <c r="D23" s="203">
        <v>4521531874.7799997</v>
      </c>
      <c r="F23" s="7" t="str">
        <f>INDEX(Language!$D$2:$X$300,SUM(Language!AF23),IF(Overview!$A$1="EN",6,15))</f>
        <v>in EUR</v>
      </c>
      <c r="G23" s="8"/>
      <c r="H23" s="203">
        <v>3577663930.6500001</v>
      </c>
      <c r="I23" s="5"/>
    </row>
    <row r="24" spans="1:9" ht="15" x14ac:dyDescent="0.25">
      <c r="B24" s="102" t="s">
        <v>36</v>
      </c>
      <c r="C24" s="178"/>
      <c r="D24" s="203">
        <v>75533390.165521204</v>
      </c>
      <c r="F24" s="7" t="str">
        <f>INDEX(Language!$D$2:$X$300,SUM(Language!AF24),IF(Overview!$A$1="EN",6,15))</f>
        <v>in CHF</v>
      </c>
      <c r="G24" s="8"/>
      <c r="H24" s="158"/>
      <c r="I24" s="5"/>
    </row>
    <row r="25" spans="1:9" ht="15" x14ac:dyDescent="0.25">
      <c r="B25" s="102" t="s">
        <v>37</v>
      </c>
      <c r="C25" s="178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8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79">
        <f>SUM(D23:D27)</f>
        <v>4597065264.9455214</v>
      </c>
      <c r="E28" s="16"/>
      <c r="F28" s="21" t="str">
        <f>INDEX(Language!$D$2:$X$300,SUM(Language!AF28),IF(Overview!$A$1="EN",6,15))</f>
        <v>Total</v>
      </c>
      <c r="G28" s="23"/>
      <c r="H28" s="179">
        <f>SUM(H23:H27)</f>
        <v>3577663930.6500001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4597065264.9455214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201">
        <v>4577065264.9455214</v>
      </c>
      <c r="D35" s="104">
        <f>IF(($C$69=0),0,(C35/$C$69))</f>
        <v>0.99564939829057719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4.3506017094227644E-3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4597065264.9455214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22" t="str">
        <f>INDEX(Language!$D$2:$X$300,SUM(Language!AG72),IF(Overview!$A$1="EN",7,16))</f>
        <v>Share in total</v>
      </c>
      <c r="H72" s="223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201"/>
      <c r="D73" s="30"/>
      <c r="E73" s="30"/>
      <c r="F73" s="210">
        <f>IF(($C$83=0),0,(C73/$C$83))</f>
        <v>0</v>
      </c>
      <c r="G73" s="220">
        <f>IF(($C$69=0),0,(C73/$C$69))</f>
        <v>0</v>
      </c>
      <c r="H73" s="221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201">
        <v>321011676.47000003</v>
      </c>
      <c r="D74" s="30"/>
      <c r="E74" s="30"/>
      <c r="F74" s="210">
        <f t="shared" ref="F74:F81" si="1">IF(($C$83=0),0,(C74/$C$83))</f>
        <v>7.0134826114134699E-2</v>
      </c>
      <c r="G74" s="220">
        <f t="shared" ref="G74:G81" si="2">IF(($C$69=0),0,(C74/$C$69))</f>
        <v>6.9829697419752479E-2</v>
      </c>
      <c r="H74" s="221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201">
        <v>3924317102.6751013</v>
      </c>
      <c r="D75" s="30"/>
      <c r="E75" s="30"/>
      <c r="F75" s="210">
        <f t="shared" si="1"/>
        <v>0.85738718491308441</v>
      </c>
      <c r="G75" s="220">
        <f t="shared" si="2"/>
        <v>0.85365703476076438</v>
      </c>
      <c r="H75" s="221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201">
        <v>90259673.200000003</v>
      </c>
      <c r="D76" s="30"/>
      <c r="E76" s="30"/>
      <c r="F76" s="210">
        <f t="shared" si="1"/>
        <v>1.971998824034123E-2</v>
      </c>
      <c r="G76" s="220">
        <f t="shared" si="2"/>
        <v>1.9634194425793006E-2</v>
      </c>
      <c r="H76" s="221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201">
        <v>51900000</v>
      </c>
      <c r="D77" s="30"/>
      <c r="E77" s="30"/>
      <c r="F77" s="210">
        <f t="shared" si="1"/>
        <v>1.1339143533190965E-2</v>
      </c>
      <c r="G77" s="220">
        <f t="shared" si="2"/>
        <v>1.1289811435952075E-2</v>
      </c>
      <c r="H77" s="221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201">
        <v>7291.74</v>
      </c>
      <c r="D78" s="30"/>
      <c r="E78" s="30"/>
      <c r="F78" s="210">
        <f t="shared" si="1"/>
        <v>1.5931037854857396E-6</v>
      </c>
      <c r="G78" s="220">
        <f t="shared" si="2"/>
        <v>1.5861728254333174E-6</v>
      </c>
      <c r="H78" s="221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201">
        <v>50755488.82</v>
      </c>
      <c r="D79" s="30"/>
      <c r="E79" s="30"/>
      <c r="F79" s="210">
        <f t="shared" si="1"/>
        <v>1.1089090035207116E-2</v>
      </c>
      <c r="G79" s="220">
        <f t="shared" si="2"/>
        <v>1.1040845821144001E-2</v>
      </c>
      <c r="H79" s="221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201">
        <v>48519956.259999998</v>
      </c>
      <c r="D80" s="30"/>
      <c r="E80" s="30"/>
      <c r="F80" s="210">
        <f t="shared" si="1"/>
        <v>1.0600669523242533E-2</v>
      </c>
      <c r="G80" s="220">
        <f t="shared" si="2"/>
        <v>1.0554550232293689E-2</v>
      </c>
      <c r="H80" s="221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201">
        <v>63561970.880000003</v>
      </c>
      <c r="D81" s="30"/>
      <c r="E81" s="30"/>
      <c r="F81" s="210">
        <f t="shared" si="1"/>
        <v>1.3887058016586214E-2</v>
      </c>
      <c r="G81" s="220">
        <f t="shared" si="2"/>
        <v>1.38266409582404E-2</v>
      </c>
      <c r="H81" s="221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201">
        <v>26732104.900420081</v>
      </c>
      <c r="D82" s="30"/>
      <c r="E82" s="30"/>
      <c r="F82" s="210">
        <f>IF(($C$83=0),0,(C82/$C$83))</f>
        <v>5.8404465204273774E-3</v>
      </c>
      <c r="G82" s="220">
        <f>IF(($C$69=0),0,(C82/$C$69))</f>
        <v>5.8150370638118138E-3</v>
      </c>
      <c r="H82" s="221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4577065264.9455214</v>
      </c>
      <c r="D83" s="182"/>
      <c r="E83" s="182"/>
      <c r="F83" s="183">
        <f>SUM(F73:F82)</f>
        <v>1</v>
      </c>
      <c r="G83" s="214">
        <f>SUM(G73:H82)</f>
        <v>0.99564939829057719</v>
      </c>
      <c r="H83" s="215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18" t="str">
        <f>INDEX(Language!$D$2:$X$300,SUM(Language!AG87),IF(Overview!$A$1="EN",7,16))</f>
        <v>%</v>
      </c>
      <c r="H87" s="219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201">
        <v>20000000</v>
      </c>
      <c r="G88" s="220">
        <f>IF(($F$95=0),0,(F88/$F$95))</f>
        <v>4.3506017094227644E-3</v>
      </c>
      <c r="H88" s="221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201">
        <v>1351121257.27</v>
      </c>
      <c r="G89" s="220">
        <f t="shared" ref="G89:G94" si="3">IF(($F$95=0),0,(F89/$F$95))</f>
        <v>0.29390952257581487</v>
      </c>
      <c r="H89" s="221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201">
        <v>488900966.02013743</v>
      </c>
      <c r="G90" s="220">
        <f t="shared" si="3"/>
        <v>0.10635066892528254</v>
      </c>
      <c r="H90" s="221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201">
        <v>10665820.9</v>
      </c>
      <c r="G91" s="220">
        <f t="shared" si="3"/>
        <v>2.3201369319968525E-3</v>
      </c>
      <c r="H91" s="221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201">
        <v>2380068120.4000001</v>
      </c>
      <c r="G92" s="220">
        <f t="shared" si="3"/>
        <v>0.51773642165774336</v>
      </c>
      <c r="H92" s="221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201">
        <v>204401295.09</v>
      </c>
      <c r="G93" s="220">
        <f t="shared" si="3"/>
        <v>4.4463431191339046E-2</v>
      </c>
      <c r="H93" s="221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201">
        <v>141907805.26538381</v>
      </c>
      <c r="G94" s="220">
        <f t="shared" si="3"/>
        <v>3.086921700840058E-2</v>
      </c>
      <c r="H94" s="221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4597065264.9455214</v>
      </c>
      <c r="G95" s="214">
        <f>SUM(G88:H94)</f>
        <v>1</v>
      </c>
      <c r="H95" s="215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16">
        <v>6.597289322</v>
      </c>
      <c r="H99" s="217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201">
        <v>812386684.98000002</v>
      </c>
      <c r="D102" s="211">
        <f>IF(($C$107=0),0,(C102/$C$107))</f>
        <v>0.17671854501931408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201">
        <v>1012550379.9400001</v>
      </c>
      <c r="D103" s="211">
        <f>IF(($C$107=0),0,(C103/$C$107))</f>
        <v>0.22026017069218176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201">
        <v>515507746.35000002</v>
      </c>
      <c r="D104" s="211">
        <f>IF(($C$107=0),0,(C104/$C$107))</f>
        <v>0.11213844412454937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201">
        <v>985855999.04999995</v>
      </c>
      <c r="D105" s="211">
        <f>IF(($C$107=0),0,(C105/$C$107))</f>
        <v>0.21445333973558092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201">
        <v>1270764454.6255212</v>
      </c>
      <c r="D106" s="211">
        <f>IF(($C$107=0),0,(C106/$C$107))</f>
        <v>0.27642950042837405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4597065264.9455204</v>
      </c>
      <c r="D107" s="172">
        <f>SUM(D102:D106)</f>
        <v>1.0000000000000002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26" t="str">
        <f>INDEX(Language!$D$2:$X$300,SUM(Language!AB112),IF(Overview!$A$1="EN",2,11))</f>
        <v>WA residual life (incl. contractural amortisation)</v>
      </c>
      <c r="C112" s="227"/>
      <c r="D112" s="227"/>
      <c r="E112" s="132"/>
      <c r="F112" s="132"/>
      <c r="G112" s="132"/>
      <c r="H112" s="204">
        <v>10.31174027</v>
      </c>
      <c r="I112" s="5"/>
    </row>
    <row r="113" spans="2:9" ht="15" x14ac:dyDescent="0.25">
      <c r="B113" s="224" t="str">
        <f>INDEX(Language!$D$2:$X$300,SUM(Language!AB113),IF(Overview!$A$1="EN",2,11))</f>
        <v>WA residual life (final legal maturity)</v>
      </c>
      <c r="C113" s="225"/>
      <c r="D113" s="225"/>
      <c r="E113" s="132"/>
      <c r="F113" s="132"/>
      <c r="G113" s="132"/>
      <c r="H113" s="204">
        <v>16.61989578</v>
      </c>
      <c r="I113" s="5"/>
    </row>
    <row r="114" spans="2:9" ht="15" customHeight="1" x14ac:dyDescent="0.25">
      <c r="B114" s="226" t="str">
        <f>INDEX(Language!$D$2:$X$300,SUM(Language!AB114),IF(Overview!$A$1="EN",2,11))</f>
        <v>WA residual life of issues (final legal maturity)</v>
      </c>
      <c r="C114" s="227"/>
      <c r="D114" s="227"/>
      <c r="E114" s="130"/>
      <c r="F114" s="130"/>
      <c r="G114" s="130"/>
      <c r="H114" s="204">
        <v>5.5095561599999998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201">
        <v>28880624.959717348</v>
      </c>
      <c r="D118" s="211">
        <f>IF(($C$123=0),0,(C118/$C$123))</f>
        <v>6.2824048159472031E-3</v>
      </c>
      <c r="F118" s="7" t="str">
        <f>INDEX(Language!$D$2:$X$300,SUM(Language!AF118),IF(Overview!$A$1="EN",6,15))</f>
        <v>≤ 12 months</v>
      </c>
      <c r="G118" s="201">
        <v>528000000</v>
      </c>
      <c r="H118" s="211">
        <f>IF(($G$123=0),0,(G118/$G$123))</f>
        <v>0.1475823359138351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201">
        <v>193670895.76523855</v>
      </c>
      <c r="D119" s="211">
        <f>IF(($C$123=0),0,(C119/$C$123))</f>
        <v>4.2129246509084249E-2</v>
      </c>
      <c r="F119" s="7" t="str">
        <f>INDEX(Language!$D$2:$X$300,SUM(Language!AF119),IF(Overview!$A$1="EN",6,15))</f>
        <v>12 - 36 months</v>
      </c>
      <c r="G119" s="201">
        <v>560150000</v>
      </c>
      <c r="H119" s="211">
        <f>IF(($G$123=0),0,(G119/$G$123))</f>
        <v>0.15656864670858853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201">
        <v>244483902.59056529</v>
      </c>
      <c r="D120" s="211">
        <f>IF(($C$123=0),0,(C120/$C$123))</f>
        <v>5.3182604226843101E-2</v>
      </c>
      <c r="F120" s="7" t="str">
        <f>INDEX(Language!$D$2:$X$300,SUM(Language!AF120),IF(Overview!$A$1="EN",6,15))</f>
        <v>36 - 60 months</v>
      </c>
      <c r="G120" s="201">
        <v>1118000000</v>
      </c>
      <c r="H120" s="211">
        <f>IF(($G$123=0),0,(G120/$G$123))</f>
        <v>0.31249441581755238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201">
        <v>711152410.80999994</v>
      </c>
      <c r="D121" s="211">
        <f>IF(($C$123=0),0,(C121/$C$123))</f>
        <v>0.1546970447065053</v>
      </c>
      <c r="F121" s="7" t="str">
        <f>INDEX(Language!$D$2:$X$300,SUM(Language!AF121),IF(Overview!$A$1="EN",6,15))</f>
        <v>60 - 120 months</v>
      </c>
      <c r="G121" s="201">
        <v>947000000</v>
      </c>
      <c r="H121" s="211">
        <f>IF(($G$123=0),0,(G121/$G$123))</f>
        <v>0.26469786384545807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201">
        <v>3418877430.8200002</v>
      </c>
      <c r="D122" s="211">
        <f>IF(($C$123=0),0,(C122/$C$123))</f>
        <v>0.74370869974162013</v>
      </c>
      <c r="F122" s="7" t="str">
        <f>INDEX(Language!$D$2:$X$300,SUM(Language!AF122),IF(Overview!$A$1="EN",6,15))</f>
        <v>≥ 120 months</v>
      </c>
      <c r="G122" s="201">
        <v>424513930.64999998</v>
      </c>
      <c r="H122" s="211">
        <f>IF(($G$123=0),0,(G122/$G$123))</f>
        <v>0.1186567377145659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4597065264.9455214</v>
      </c>
      <c r="D123" s="172">
        <f>SUM(D118:D122)</f>
        <v>1</v>
      </c>
      <c r="F123" s="12" t="str">
        <f>INDEX(Language!$D$2:$X$300,SUM(Language!AF123),IF(Overview!$A$1="EN",6,15))</f>
        <v>Total</v>
      </c>
      <c r="G123" s="171">
        <f>SUM(G118:G122)</f>
        <v>3577663930.6500001</v>
      </c>
      <c r="H123" s="172">
        <f>SUM(H118:H122)</f>
        <v>0.99999999999999989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203">
        <v>2267946624.284956</v>
      </c>
      <c r="F145" s="7" t="str">
        <f>INDEX(Language!$D$2:$X$300,SUM(Language!AF145),IF(Overview!$A$1="EN",6,15))</f>
        <v>Variable, fixed rate during the year</v>
      </c>
      <c r="G145" s="8"/>
      <c r="H145" s="203">
        <v>550650000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203">
        <v>91625333.200000003</v>
      </c>
      <c r="F146" s="7" t="str">
        <f>INDEX(Language!$D$2:$X$300,SUM(Language!AF146),IF(Overview!$A$1="EN",6,15))</f>
        <v>Fixed rate, 1 - 2 years</v>
      </c>
      <c r="G146" s="8"/>
      <c r="H146" s="203">
        <v>532500000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203">
        <v>199749653.78056529</v>
      </c>
      <c r="F147" s="7" t="str">
        <f>INDEX(Language!$D$2:$X$300,SUM(Language!AF147),IF(Overview!$A$1="EN",6,15))</f>
        <v>Fixed rate, 2 - 5 years</v>
      </c>
      <c r="G147" s="8"/>
      <c r="H147" s="203">
        <v>1143000000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203">
        <v>2037743653.6800001</v>
      </c>
      <c r="F148" s="7" t="str">
        <f>INDEX(Language!$D$2:$X$300,SUM(Language!AF148),IF(Overview!$A$1="EN",6,15))</f>
        <v>Fixed rate, &gt; 5 years</v>
      </c>
      <c r="G148" s="8"/>
      <c r="H148" s="203">
        <v>1351513930.6500001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4">
        <f>SUM(D145:D148)</f>
        <v>4597065264.9455214</v>
      </c>
      <c r="F149" s="12" t="str">
        <f>INDEX(Language!$D$2:$X$300,SUM(Language!AF149),IF(Overview!$A$1="EN",6,15))</f>
        <v>Total</v>
      </c>
      <c r="G149" s="23"/>
      <c r="H149" s="184">
        <f>SUM(H145:H148)</f>
        <v>3577663930.6500001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D5" sqref="D5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86" t="str">
        <f>INDEX([2]Language!$D$2:$X$300,SUM([2]Language!AB207),IF([2]Overview!$A$1="EN",3,11))</f>
        <v>Overview</v>
      </c>
      <c r="C4" s="187"/>
      <c r="D4" s="186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205">
        <v>80590150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205">
        <v>80590150</v>
      </c>
    </row>
    <row r="8" spans="1:5" x14ac:dyDescent="0.25">
      <c r="B8" s="188" t="str">
        <f>INDEX([2]Language!$D$2:$X$300,SUM([2]Language!AB211),IF([2]Overview!$A$1="EN",3,11))</f>
        <v>Total</v>
      </c>
      <c r="C8" s="188"/>
      <c r="D8" s="185">
        <f>SUM(D5:D6)</f>
        <v>80590150</v>
      </c>
    </row>
    <row r="9" spans="1:5" x14ac:dyDescent="0.25">
      <c r="B9" s="188" t="str">
        <f>INDEX([2]Language!$D$2:$X$300,SUM([2]Language!AB212),IF([2]Overview!$A$1="EN",3,11))</f>
        <v>Additional cover pool (in % of total issues)</v>
      </c>
      <c r="C9" s="188"/>
      <c r="D9" s="209">
        <f>D8/[3]Primärdeckung!$C$14</f>
        <v>1.8634096343210633E-2</v>
      </c>
      <c r="E9" s="80"/>
    </row>
    <row r="11" spans="1:5" x14ac:dyDescent="0.25">
      <c r="B11" s="186" t="str">
        <f>INDEX([2]Language!$D$2:$X$300,SUM([2]Language!AB214),IF([2]Overview!$A$1="EN",3,11))</f>
        <v>Bonds by volume</v>
      </c>
      <c r="C11" s="187" t="str">
        <f>INDEX([2]Language!$D$2:$X$300,SUM([2]Language!AC214),IF([2]Overview!$A$1="EN",4,12))</f>
        <v>volume</v>
      </c>
      <c r="D11" s="189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206"/>
      <c r="D12" s="207"/>
    </row>
    <row r="13" spans="1:5" x14ac:dyDescent="0.25">
      <c r="B13" s="38" t="str">
        <f>INDEX([2]Language!$D$2:$X$300,SUM([2]Language!AB216),IF([2]Overview!$A$1="EN",3,11))</f>
        <v>1.000.000 - 5.000.000</v>
      </c>
      <c r="C13" s="206">
        <v>4929750</v>
      </c>
      <c r="D13" s="207">
        <v>1</v>
      </c>
    </row>
    <row r="14" spans="1:5" x14ac:dyDescent="0.25">
      <c r="B14" s="38" t="str">
        <f>INDEX([2]Language!$D$2:$X$300,SUM([2]Language!AB217),IF([2]Overview!$A$1="EN",3,11))</f>
        <v>≥ 5.000.000</v>
      </c>
      <c r="C14" s="206">
        <v>75660400</v>
      </c>
      <c r="D14" s="207">
        <v>4</v>
      </c>
    </row>
    <row r="15" spans="1:5" x14ac:dyDescent="0.25">
      <c r="B15" s="188" t="str">
        <f>INDEX([2]Language!$D$2:$X$300,SUM([2]Language!AB218),IF([2]Overview!$A$1="EN",3,11))</f>
        <v>Total</v>
      </c>
      <c r="C15" s="190">
        <f>SUM(C12:C14)</f>
        <v>80590150</v>
      </c>
      <c r="D15" s="191">
        <f>SUM(D12:D14)</f>
        <v>5</v>
      </c>
    </row>
    <row r="17" spans="2:4" x14ac:dyDescent="0.25">
      <c r="B17" s="186" t="str">
        <f>INDEX([2]Language!$D$2:$X$300,SUM([2]Language!AB220),IF([2]Overview!$A$1="EN",3,11))</f>
        <v>Additional cover pool by currencies</v>
      </c>
      <c r="C17" s="187" t="str">
        <f>INDEX([2]Language!$D$2:$X$300,SUM([2]Language!AC220),IF([2]Overview!$A$1="EN",4,12))</f>
        <v>volume</v>
      </c>
      <c r="D17" s="189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206">
        <v>80590150</v>
      </c>
      <c r="D18" s="193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3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3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3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3">
        <f>IF(($C$23=0),0,(C22/$C$23))</f>
        <v>0</v>
      </c>
    </row>
    <row r="23" spans="2:4" x14ac:dyDescent="0.25">
      <c r="B23" s="188" t="str">
        <f>INDEX([2]Language!$D$2:$X$300,SUM([2]Language!AB226),IF([2]Overview!$A$1="EN",3,11))</f>
        <v>Total</v>
      </c>
      <c r="C23" s="190">
        <f>SUM(C18:C22)</f>
        <v>80590150</v>
      </c>
      <c r="D23" s="192">
        <f>SUM(D18:D22)</f>
        <v>1</v>
      </c>
    </row>
    <row r="25" spans="2:4" x14ac:dyDescent="0.25">
      <c r="B25" s="186" t="str">
        <f>INDEX([2]Language!$D$2:$X$300,SUM([2]Language!AB228),IF([2]Overview!$A$1="EN",3,11))</f>
        <v>Regional distribution of additional cover pool</v>
      </c>
      <c r="C25" s="187" t="str">
        <f>INDEX([2]Language!$D$2:$X$300,SUM([2]Language!AC228),IF([2]Overview!$A$1="EN",4,12))</f>
        <v>Volumen</v>
      </c>
      <c r="D25" s="189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4">
        <f>SUM(C27:C54)</f>
        <v>80590150</v>
      </c>
      <c r="D26" s="195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206">
        <v>70590150</v>
      </c>
      <c r="D27" s="196">
        <f>IF(($C$61=0),0,(C27/$C$61))</f>
        <v>0.87591535690155686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196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196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196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196">
        <f t="shared" si="0"/>
        <v>0</v>
      </c>
    </row>
    <row r="32" spans="2:4" outlineLevel="1" x14ac:dyDescent="0.25">
      <c r="B32" s="38"/>
      <c r="C32" s="206"/>
      <c r="D32" s="196">
        <f t="shared" si="0"/>
        <v>0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196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196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196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/>
      <c r="D36" s="196">
        <f t="shared" si="0"/>
        <v>0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196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196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196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196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196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196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196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196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196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81">
        <v>10000000</v>
      </c>
      <c r="D46" s="196">
        <f t="shared" si="0"/>
        <v>0.12408464309844318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196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196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197"/>
      <c r="D49" s="196">
        <f t="shared" si="0"/>
        <v>0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196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196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196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196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196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4">
        <f>SUM(C56:C58)</f>
        <v>0</v>
      </c>
      <c r="D55" s="195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195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195">
        <f>IF(($C$61=0),0,(C60/$C$61))</f>
        <v>0</v>
      </c>
    </row>
    <row r="61" spans="2:4" x14ac:dyDescent="0.25">
      <c r="B61" s="186" t="str">
        <f>INDEX([2]Language!$D$2:$X$300,SUM([2]Language!AB264),IF([2]Overview!$A$1="EN",3,11))</f>
        <v>Total</v>
      </c>
      <c r="C61" s="190">
        <f>C26+C55+C59+C60</f>
        <v>80590150</v>
      </c>
      <c r="D61" s="192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42" t="s">
        <v>169</v>
      </c>
      <c r="F2" s="242"/>
      <c r="G2" s="242"/>
      <c r="H2" s="84"/>
      <c r="I2" s="84" t="s">
        <v>0</v>
      </c>
      <c r="J2" s="213" t="s">
        <v>169</v>
      </c>
      <c r="K2" s="213"/>
      <c r="L2" s="213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22" t="s">
        <v>266</v>
      </c>
      <c r="K106" s="223"/>
      <c r="M106" s="2"/>
      <c r="N106" s="18"/>
      <c r="O106" s="19" t="s">
        <v>24</v>
      </c>
      <c r="P106" s="22"/>
      <c r="Q106" s="22"/>
      <c r="R106" s="19" t="s">
        <v>80</v>
      </c>
      <c r="S106" s="222" t="s">
        <v>117</v>
      </c>
      <c r="T106" s="223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32">
        <f>IF(($C$69=0),0,(F107/$C$69))</f>
        <v>0</v>
      </c>
      <c r="K107" s="233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32">
        <f>IF(($C$69=0),0,(O107/$C$69))</f>
        <v>0</v>
      </c>
      <c r="T107" s="233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32">
        <f t="shared" ref="J108:J114" si="5">IF(($C$69=0),0,(F108/$C$69))</f>
        <v>0</v>
      </c>
      <c r="K108" s="233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32">
        <f t="shared" ref="S108:S115" si="7">IF(($C$69=0),0,(O108/$C$69))</f>
        <v>0</v>
      </c>
      <c r="T108" s="233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32">
        <f t="shared" si="5"/>
        <v>0</v>
      </c>
      <c r="K109" s="233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32">
        <f t="shared" si="7"/>
        <v>0</v>
      </c>
      <c r="T109" s="233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32">
        <f t="shared" si="5"/>
        <v>0</v>
      </c>
      <c r="K110" s="233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32">
        <f t="shared" si="7"/>
        <v>0</v>
      </c>
      <c r="T110" s="233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32">
        <f t="shared" si="5"/>
        <v>0</v>
      </c>
      <c r="K111" s="233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32">
        <f t="shared" si="7"/>
        <v>0</v>
      </c>
      <c r="T111" s="233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32">
        <f t="shared" si="5"/>
        <v>0</v>
      </c>
      <c r="K112" s="233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32">
        <f t="shared" si="7"/>
        <v>0</v>
      </c>
      <c r="T112" s="233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32">
        <f t="shared" si="5"/>
        <v>0</v>
      </c>
      <c r="K113" s="233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32">
        <f t="shared" si="7"/>
        <v>0</v>
      </c>
      <c r="T113" s="233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32">
        <f t="shared" si="5"/>
        <v>0</v>
      </c>
      <c r="K114" s="233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32">
        <f t="shared" si="7"/>
        <v>0</v>
      </c>
      <c r="T114" s="233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32">
        <f>IF(($C$69=0),0,(F115/$C$69))</f>
        <v>0</v>
      </c>
      <c r="K115" s="233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32">
        <f t="shared" si="7"/>
        <v>0</v>
      </c>
      <c r="T115" s="233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32">
        <f>IF(($C$69=0),0,(F116/$C$69))</f>
        <v>0</v>
      </c>
      <c r="K116" s="233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32">
        <f>IF(($C$69=0),0,(O116/$C$69))</f>
        <v>0</v>
      </c>
      <c r="T116" s="233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36">
        <f>SUM(J107:K116)</f>
        <v>0</v>
      </c>
      <c r="K117" s="237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36">
        <f>SUM(S107:T116)</f>
        <v>0</v>
      </c>
      <c r="T117" s="237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34" t="s">
        <v>274</v>
      </c>
      <c r="F121" s="235"/>
      <c r="G121" s="119"/>
      <c r="H121" s="119"/>
      <c r="I121" s="119" t="s">
        <v>217</v>
      </c>
      <c r="J121" s="218" t="s">
        <v>41</v>
      </c>
      <c r="K121" s="219"/>
      <c r="M121" s="2"/>
      <c r="N121" s="234" t="s">
        <v>160</v>
      </c>
      <c r="O121" s="235"/>
      <c r="P121" s="127"/>
      <c r="Q121" s="127"/>
      <c r="R121" s="127" t="s">
        <v>24</v>
      </c>
      <c r="S121" s="218" t="s">
        <v>41</v>
      </c>
      <c r="T121" s="219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40" t="s">
        <v>275</v>
      </c>
      <c r="F122" s="241"/>
      <c r="G122" s="8"/>
      <c r="H122" s="8"/>
      <c r="I122" s="67">
        <v>20000000</v>
      </c>
      <c r="J122" s="232">
        <f>IF(($F$95=0),0,(I122/$F$95))</f>
        <v>1</v>
      </c>
      <c r="K122" s="233"/>
      <c r="M122" s="2"/>
      <c r="N122" s="243" t="s">
        <v>158</v>
      </c>
      <c r="O122" s="229"/>
      <c r="P122" s="8"/>
      <c r="Q122" s="8"/>
      <c r="R122" s="67">
        <v>9999999999</v>
      </c>
      <c r="S122" s="232">
        <f>IF(($F$95=0),0,(R122/$F$95))</f>
        <v>499.99999995000002</v>
      </c>
      <c r="T122" s="233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30" t="s">
        <v>276</v>
      </c>
      <c r="F123" s="231"/>
      <c r="G123" s="8"/>
      <c r="H123" s="8"/>
      <c r="I123" s="67">
        <v>20000000</v>
      </c>
      <c r="J123" s="232">
        <f>IF(($F$95=0),0,(I123/$F$95))</f>
        <v>1</v>
      </c>
      <c r="K123" s="233"/>
      <c r="M123" s="2"/>
      <c r="N123" s="243" t="s">
        <v>155</v>
      </c>
      <c r="O123" s="229"/>
      <c r="P123" s="8"/>
      <c r="Q123" s="8"/>
      <c r="R123" s="67">
        <v>0</v>
      </c>
      <c r="S123" s="232">
        <f t="shared" ref="S123:S128" si="8">IF(($F$95=0),0,(R123/$F$95))</f>
        <v>0</v>
      </c>
      <c r="T123" s="233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30" t="s">
        <v>277</v>
      </c>
      <c r="F124" s="231"/>
      <c r="G124" s="8"/>
      <c r="H124" s="8"/>
      <c r="I124" s="67">
        <v>20000000</v>
      </c>
      <c r="J124" s="232">
        <f t="shared" ref="J124:J128" si="9">IF(($F$95=0),0,(I124/$F$95))</f>
        <v>1</v>
      </c>
      <c r="K124" s="233"/>
      <c r="M124" s="2"/>
      <c r="N124" s="228" t="s">
        <v>154</v>
      </c>
      <c r="O124" s="244"/>
      <c r="P124" s="8"/>
      <c r="Q124" s="8"/>
      <c r="R124" s="67">
        <v>0</v>
      </c>
      <c r="S124" s="232">
        <f t="shared" si="8"/>
        <v>0</v>
      </c>
      <c r="T124" s="233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30" t="s">
        <v>278</v>
      </c>
      <c r="F125" s="231"/>
      <c r="G125" s="8"/>
      <c r="H125" s="8"/>
      <c r="I125" s="67">
        <v>20000000</v>
      </c>
      <c r="J125" s="232">
        <f t="shared" si="9"/>
        <v>1</v>
      </c>
      <c r="K125" s="233"/>
      <c r="M125" s="2"/>
      <c r="N125" s="243" t="s">
        <v>157</v>
      </c>
      <c r="O125" s="229"/>
      <c r="P125" s="8"/>
      <c r="Q125" s="8"/>
      <c r="R125" s="67">
        <v>9999999999</v>
      </c>
      <c r="S125" s="232">
        <f t="shared" si="8"/>
        <v>499.99999995000002</v>
      </c>
      <c r="T125" s="233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30" t="s">
        <v>279</v>
      </c>
      <c r="F126" s="231"/>
      <c r="G126" s="8"/>
      <c r="H126" s="8"/>
      <c r="I126" s="67">
        <v>20000000</v>
      </c>
      <c r="J126" s="232">
        <f t="shared" si="9"/>
        <v>1</v>
      </c>
      <c r="K126" s="233"/>
      <c r="M126" s="2"/>
      <c r="N126" s="243" t="s">
        <v>156</v>
      </c>
      <c r="O126" s="229"/>
      <c r="P126" s="8"/>
      <c r="Q126" s="8"/>
      <c r="R126" s="67">
        <v>559101638.75</v>
      </c>
      <c r="S126" s="232">
        <f t="shared" si="8"/>
        <v>27.955081937500001</v>
      </c>
      <c r="T126" s="233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30" t="s">
        <v>280</v>
      </c>
      <c r="F127" s="231"/>
      <c r="G127" s="8"/>
      <c r="H127" s="8"/>
      <c r="I127" s="67">
        <v>20000000</v>
      </c>
      <c r="J127" s="232">
        <f t="shared" si="9"/>
        <v>1</v>
      </c>
      <c r="K127" s="233"/>
      <c r="M127" s="2"/>
      <c r="N127" s="243" t="s">
        <v>159</v>
      </c>
      <c r="O127" s="229"/>
      <c r="P127" s="8"/>
      <c r="Q127" s="8"/>
      <c r="R127" s="67">
        <v>442366849.20999998</v>
      </c>
      <c r="S127" s="232">
        <f t="shared" si="8"/>
        <v>22.118342460499999</v>
      </c>
      <c r="T127" s="233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30" t="s">
        <v>281</v>
      </c>
      <c r="F128" s="231"/>
      <c r="G128" s="8"/>
      <c r="H128" s="8"/>
      <c r="I128" s="67">
        <v>20000000</v>
      </c>
      <c r="J128" s="232">
        <f t="shared" si="9"/>
        <v>1</v>
      </c>
      <c r="K128" s="233"/>
      <c r="M128" s="2"/>
      <c r="N128" s="243" t="s">
        <v>168</v>
      </c>
      <c r="O128" s="229"/>
      <c r="P128" s="8"/>
      <c r="Q128" s="8"/>
      <c r="R128" s="67">
        <v>2333333</v>
      </c>
      <c r="S128" s="232">
        <f t="shared" si="8"/>
        <v>0.11666665</v>
      </c>
      <c r="T128" s="233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34" t="s">
        <v>224</v>
      </c>
      <c r="F129" s="235"/>
      <c r="G129" s="23"/>
      <c r="H129" s="23"/>
      <c r="I129" s="72">
        <f>SUM(I122:I128)</f>
        <v>140000000</v>
      </c>
      <c r="J129" s="236">
        <f>SUM(J122:K128)</f>
        <v>7</v>
      </c>
      <c r="K129" s="237"/>
      <c r="M129" s="2"/>
      <c r="N129" s="234" t="s">
        <v>30</v>
      </c>
      <c r="O129" s="235"/>
      <c r="P129" s="23"/>
      <c r="Q129" s="23"/>
      <c r="R129" s="72">
        <f>SUM(R122:R128)</f>
        <v>21003801818.959999</v>
      </c>
      <c r="S129" s="236">
        <f>SUM(S122:T128)</f>
        <v>1050.190090948</v>
      </c>
      <c r="T129" s="237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38">
        <v>5</v>
      </c>
      <c r="K133" s="239"/>
      <c r="M133" s="2"/>
      <c r="N133" s="32" t="s">
        <v>177</v>
      </c>
      <c r="O133" s="33"/>
      <c r="P133" s="33"/>
      <c r="Q133" s="33"/>
      <c r="R133" s="33"/>
      <c r="S133" s="238">
        <v>5</v>
      </c>
      <c r="T133" s="239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28" t="s">
        <v>290</v>
      </c>
      <c r="F146" s="229"/>
      <c r="G146" s="229"/>
      <c r="H146" s="229"/>
      <c r="I146" s="229"/>
      <c r="J146" s="229"/>
      <c r="K146" s="133">
        <v>5</v>
      </c>
      <c r="M146" s="2"/>
      <c r="N146" s="226" t="s">
        <v>172</v>
      </c>
      <c r="O146" s="225"/>
      <c r="P146" s="225"/>
      <c r="Q146" s="225"/>
      <c r="R146" s="225"/>
      <c r="S146" s="225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28" t="s">
        <v>291</v>
      </c>
      <c r="F147" s="229"/>
      <c r="G147" s="229"/>
      <c r="H147" s="229"/>
      <c r="I147" s="229"/>
      <c r="J147" s="229"/>
      <c r="K147" s="133">
        <v>5</v>
      </c>
      <c r="M147" s="2"/>
      <c r="N147" s="224" t="s">
        <v>173</v>
      </c>
      <c r="O147" s="225"/>
      <c r="P147" s="225"/>
      <c r="Q147" s="225"/>
      <c r="R147" s="225"/>
      <c r="S147" s="225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28" t="s">
        <v>292</v>
      </c>
      <c r="F148" s="229"/>
      <c r="G148" s="229"/>
      <c r="H148" s="229"/>
      <c r="I148" s="229"/>
      <c r="J148" s="229"/>
      <c r="K148" s="133">
        <v>5</v>
      </c>
      <c r="M148" s="2"/>
      <c r="N148" s="226" t="s">
        <v>146</v>
      </c>
      <c r="O148" s="227"/>
      <c r="P148" s="227"/>
      <c r="Q148" s="227"/>
      <c r="R148" s="227"/>
      <c r="S148" s="227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N148:S148"/>
    <mergeCell ref="N129:O129"/>
    <mergeCell ref="S129:T129"/>
    <mergeCell ref="S133:T133"/>
    <mergeCell ref="N146:S146"/>
    <mergeCell ref="N147:S147"/>
    <mergeCell ref="N126:O126"/>
    <mergeCell ref="S126:T126"/>
    <mergeCell ref="N127:O127"/>
    <mergeCell ref="S127:T127"/>
    <mergeCell ref="N128:O128"/>
    <mergeCell ref="S128:T128"/>
    <mergeCell ref="N123:O123"/>
    <mergeCell ref="S123:T123"/>
    <mergeCell ref="N124:O124"/>
    <mergeCell ref="S124:T124"/>
    <mergeCell ref="N125:O125"/>
    <mergeCell ref="S125:T125"/>
    <mergeCell ref="S116:T116"/>
    <mergeCell ref="S117:T117"/>
    <mergeCell ref="N121:O121"/>
    <mergeCell ref="S121:T121"/>
    <mergeCell ref="N122:O122"/>
    <mergeCell ref="S122:T122"/>
    <mergeCell ref="S111:T111"/>
    <mergeCell ref="S112:T112"/>
    <mergeCell ref="S113:T113"/>
    <mergeCell ref="S114:T114"/>
    <mergeCell ref="S115:T115"/>
    <mergeCell ref="S106:T106"/>
    <mergeCell ref="S107:T107"/>
    <mergeCell ref="S108:T108"/>
    <mergeCell ref="S109:T109"/>
    <mergeCell ref="S110:T110"/>
    <mergeCell ref="E2:G2"/>
    <mergeCell ref="J2:L2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E121:F121"/>
    <mergeCell ref="J121:K121"/>
    <mergeCell ref="E122:F122"/>
    <mergeCell ref="J122:K122"/>
    <mergeCell ref="E123:F123"/>
    <mergeCell ref="J123:K123"/>
    <mergeCell ref="E124:F124"/>
    <mergeCell ref="J124:K124"/>
    <mergeCell ref="E125:F125"/>
    <mergeCell ref="J125:K125"/>
    <mergeCell ref="E126:F126"/>
    <mergeCell ref="J126:K126"/>
    <mergeCell ref="E127:F127"/>
    <mergeCell ref="J127:K127"/>
    <mergeCell ref="E146:J146"/>
    <mergeCell ref="E147:J147"/>
    <mergeCell ref="E148:J148"/>
    <mergeCell ref="E128:F128"/>
    <mergeCell ref="J128:K128"/>
    <mergeCell ref="E129:F129"/>
    <mergeCell ref="J129:K129"/>
    <mergeCell ref="J133:K13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  <vt:lpstr>x</vt:lpstr>
      <vt:lpstr>xx</vt:lpstr>
      <vt:lpstr>xxx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2018-07-10T08:37:34Z</cp:lastPrinted>
  <dcterms:created xsi:type="dcterms:W3CDTF">2013-10-29T11:27:30Z</dcterms:created>
  <dcterms:modified xsi:type="dcterms:W3CDTF">2022-01-11T19:05:25Z</dcterms:modified>
</cp:coreProperties>
</file>